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95" windowWidth="11520" windowHeight="5130" tabRatio="849" activeTab="6"/>
  </bookViews>
  <sheets>
    <sheet name="04-CG-2014" sheetId="23" r:id="rId1"/>
    <sheet name="01-FC-2014" sheetId="24" r:id="rId2"/>
    <sheet name="02-HH-2014" sheetId="21" r:id="rId3"/>
    <sheet name="03-APU-2014" sheetId="17" r:id="rId4"/>
    <sheet name="05-ED-2014" sheetId="1" r:id="rId5"/>
    <sheet name="06-UC1-2014" sheetId="2" r:id="rId6"/>
    <sheet name="07-UC2.1-2014" sheetId="26" r:id="rId7"/>
    <sheet name="08-UC2.1.2-2014" sheetId="25" r:id="rId8"/>
    <sheet name="09-UC2.3-2-2014" sheetId="4" r:id="rId9"/>
    <sheet name="10-UC2.3-3-2014" sheetId="15" r:id="rId10"/>
    <sheet name="11-UC3-2014" sheetId="7" r:id="rId11"/>
    <sheet name="12-UCV-2014" sheetId="8" r:id="rId12"/>
    <sheet name="13-UCVAL3-2014" sheetId="16" r:id="rId13"/>
    <sheet name="14-UCEVAL1,1-2014" sheetId="10" r:id="rId14"/>
    <sheet name="15-UCCIN-2014" sheetId="11" r:id="rId15"/>
  </sheets>
  <externalReferences>
    <externalReference r:id="rId16"/>
    <externalReference r:id="rId17"/>
  </externalReferences>
  <calcPr calcId="124519"/>
</workbook>
</file>

<file path=xl/calcChain.xml><?xml version="1.0" encoding="utf-8"?>
<calcChain xmlns="http://schemas.openxmlformats.org/spreadsheetml/2006/main">
  <c r="K30" i="11"/>
  <c r="G30"/>
  <c r="C60" i="2"/>
  <c r="F45" i="25"/>
  <c r="E45"/>
  <c r="D45"/>
  <c r="C45"/>
  <c r="D50"/>
  <c r="C50"/>
  <c r="G70"/>
  <c r="I70"/>
  <c r="K70"/>
  <c r="C55"/>
  <c r="D56"/>
  <c r="C56"/>
  <c r="G62" i="15"/>
  <c r="E62"/>
  <c r="L55"/>
  <c r="J55"/>
  <c r="H55"/>
  <c r="F55"/>
  <c r="C55"/>
  <c r="D55" s="1"/>
  <c r="H356" i="17"/>
  <c r="N56" i="25"/>
  <c r="M56"/>
  <c r="M25"/>
  <c r="N25" s="1"/>
  <c r="K25"/>
  <c r="L25" s="1"/>
  <c r="I25"/>
  <c r="J25" s="1"/>
  <c r="G25"/>
  <c r="H25" s="1"/>
  <c r="E25"/>
  <c r="F25" s="1"/>
  <c r="C25"/>
  <c r="D25" s="1"/>
  <c r="C54" i="15"/>
  <c r="D54" s="1"/>
  <c r="F23"/>
  <c r="E23"/>
  <c r="D23"/>
  <c r="C23"/>
  <c r="D25"/>
  <c r="E25"/>
  <c r="F25"/>
  <c r="G25"/>
  <c r="H25"/>
  <c r="I25"/>
  <c r="J25"/>
  <c r="K25"/>
  <c r="L25"/>
  <c r="M25"/>
  <c r="C25"/>
  <c r="I54" i="4"/>
  <c r="J54" s="1"/>
  <c r="F17" i="1"/>
  <c r="E17"/>
  <c r="D30" i="4"/>
  <c r="E30"/>
  <c r="F30"/>
  <c r="G30"/>
  <c r="H30"/>
  <c r="I30"/>
  <c r="J30"/>
  <c r="K30"/>
  <c r="L30"/>
  <c r="M30"/>
  <c r="N30"/>
  <c r="C30"/>
  <c r="D25" l="1"/>
  <c r="E25"/>
  <c r="F25"/>
  <c r="G25"/>
  <c r="H25"/>
  <c r="I25"/>
  <c r="J25"/>
  <c r="K25"/>
  <c r="L25"/>
  <c r="M25"/>
  <c r="N25"/>
  <c r="C25"/>
  <c r="L194" i="17" l="1"/>
  <c r="K194"/>
  <c r="J194"/>
  <c r="I194"/>
  <c r="H194"/>
  <c r="G194"/>
  <c r="F194"/>
  <c r="E194"/>
  <c r="D194"/>
  <c r="L193"/>
  <c r="K193"/>
  <c r="J193"/>
  <c r="I193"/>
  <c r="H193"/>
  <c r="F193"/>
  <c r="E193"/>
  <c r="D193"/>
  <c r="O108"/>
  <c r="N108"/>
  <c r="M108"/>
  <c r="L108"/>
  <c r="K108"/>
  <c r="J108"/>
  <c r="I108"/>
  <c r="H108"/>
  <c r="G108"/>
  <c r="F108"/>
  <c r="E108"/>
  <c r="D108"/>
  <c r="D195" l="1"/>
  <c r="C54" i="4" s="1"/>
  <c r="D54" s="1"/>
  <c r="L195" i="17"/>
  <c r="K195"/>
  <c r="J195"/>
  <c r="I195"/>
  <c r="H195"/>
  <c r="F195"/>
  <c r="G51" i="26" s="1"/>
  <c r="E195" i="17"/>
  <c r="E51" i="26" s="1"/>
  <c r="C23"/>
  <c r="D23" s="1"/>
  <c r="E23" s="1"/>
  <c r="F23" s="1"/>
  <c r="G23" s="1"/>
  <c r="J431" i="17"/>
  <c r="K431"/>
  <c r="L431"/>
  <c r="E431"/>
  <c r="F431"/>
  <c r="G431"/>
  <c r="D431"/>
  <c r="G413"/>
  <c r="H413"/>
  <c r="I413"/>
  <c r="J413"/>
  <c r="K413"/>
  <c r="L413"/>
  <c r="F413"/>
  <c r="E464"/>
  <c r="F464"/>
  <c r="D464"/>
  <c r="E476"/>
  <c r="F476"/>
  <c r="G476"/>
  <c r="H476"/>
  <c r="I476"/>
  <c r="J476"/>
  <c r="K476"/>
  <c r="L476"/>
  <c r="D476"/>
  <c r="K54" i="4" l="1"/>
  <c r="L54" s="1"/>
  <c r="E54" i="15"/>
  <c r="F54" s="1"/>
  <c r="E473" i="17"/>
  <c r="F473"/>
  <c r="G473"/>
  <c r="H473"/>
  <c r="I473"/>
  <c r="J473"/>
  <c r="K473"/>
  <c r="L473"/>
  <c r="D473"/>
  <c r="L467"/>
  <c r="H467"/>
  <c r="I467"/>
  <c r="J467"/>
  <c r="K467"/>
  <c r="G467"/>
  <c r="E467"/>
  <c r="F467"/>
  <c r="D467"/>
  <c r="K192"/>
  <c r="L192" s="1"/>
  <c r="J192"/>
  <c r="I192"/>
  <c r="H192"/>
  <c r="G192"/>
  <c r="F192"/>
  <c r="E192"/>
  <c r="D192"/>
  <c r="G193"/>
  <c r="D20" i="2"/>
  <c r="E20"/>
  <c r="F20"/>
  <c r="C20"/>
  <c r="H34" i="17"/>
  <c r="I34"/>
  <c r="J34"/>
  <c r="K34"/>
  <c r="L34"/>
  <c r="M34"/>
  <c r="N34"/>
  <c r="O34"/>
  <c r="G34"/>
  <c r="O64"/>
  <c r="N64"/>
  <c r="N62"/>
  <c r="O62"/>
  <c r="D220"/>
  <c r="E220"/>
  <c r="F16" i="10"/>
  <c r="D16"/>
  <c r="C16"/>
  <c r="J220" i="17"/>
  <c r="I220"/>
  <c r="G142"/>
  <c r="H142"/>
  <c r="I142"/>
  <c r="J142"/>
  <c r="K142"/>
  <c r="L142"/>
  <c r="M142"/>
  <c r="N142"/>
  <c r="O142"/>
  <c r="F142"/>
  <c r="E142"/>
  <c r="D142"/>
  <c r="J398"/>
  <c r="K398"/>
  <c r="H398"/>
  <c r="I398"/>
  <c r="E398"/>
  <c r="F398"/>
  <c r="G398"/>
  <c r="D398"/>
  <c r="G196" l="1"/>
  <c r="E16" i="10"/>
  <c r="E481" i="17" l="1"/>
  <c r="F481"/>
  <c r="G481"/>
  <c r="H481"/>
  <c r="D481"/>
  <c r="D18" i="10"/>
  <c r="E18"/>
  <c r="F18"/>
  <c r="C18"/>
  <c r="E347" i="17" l="1"/>
  <c r="F347"/>
  <c r="G347"/>
  <c r="H347"/>
  <c r="I347"/>
  <c r="J347"/>
  <c r="K347"/>
  <c r="L347"/>
  <c r="M347"/>
  <c r="N347"/>
  <c r="O347"/>
  <c r="D347"/>
  <c r="J27" i="1" l="1"/>
  <c r="O221" i="17"/>
  <c r="N221"/>
  <c r="K221"/>
  <c r="L221"/>
  <c r="M221"/>
  <c r="J221"/>
  <c r="I221"/>
  <c r="E221"/>
  <c r="D21" i="7" s="1"/>
  <c r="F221" i="17"/>
  <c r="E21" i="7" s="1"/>
  <c r="G221" i="17"/>
  <c r="F21" i="7" s="1"/>
  <c r="H221" i="17"/>
  <c r="D221"/>
  <c r="C21" i="7" s="1"/>
  <c r="O226" i="17"/>
  <c r="N226"/>
  <c r="K226"/>
  <c r="L226"/>
  <c r="M226"/>
  <c r="J226"/>
  <c r="I226"/>
  <c r="E226"/>
  <c r="F226"/>
  <c r="G226"/>
  <c r="H226"/>
  <c r="D226"/>
  <c r="N222"/>
  <c r="O222" s="1"/>
  <c r="J222"/>
  <c r="K222" s="1"/>
  <c r="L222" s="1"/>
  <c r="M222" s="1"/>
  <c r="I222"/>
  <c r="H222"/>
  <c r="G222"/>
  <c r="F222"/>
  <c r="E222"/>
  <c r="D222"/>
  <c r="K220"/>
  <c r="L220" s="1"/>
  <c r="M220" s="1"/>
  <c r="N220" s="1"/>
  <c r="O220" s="1"/>
  <c r="H220"/>
  <c r="G220"/>
  <c r="F220"/>
  <c r="E22" i="10" s="1"/>
  <c r="O219" i="17"/>
  <c r="N219"/>
  <c r="K219"/>
  <c r="L219"/>
  <c r="M219"/>
  <c r="J219"/>
  <c r="I219"/>
  <c r="H219"/>
  <c r="G219"/>
  <c r="F219"/>
  <c r="E219"/>
  <c r="D219"/>
  <c r="E218"/>
  <c r="F218"/>
  <c r="G218"/>
  <c r="H218"/>
  <c r="I218"/>
  <c r="J218"/>
  <c r="K218"/>
  <c r="L218"/>
  <c r="M218"/>
  <c r="N218"/>
  <c r="O218"/>
  <c r="D218"/>
  <c r="E174" l="1"/>
  <c r="F174"/>
  <c r="G174"/>
  <c r="H174"/>
  <c r="I174"/>
  <c r="J174"/>
  <c r="K174"/>
  <c r="L174"/>
  <c r="M174"/>
  <c r="N174"/>
  <c r="O174"/>
  <c r="D174"/>
  <c r="O157"/>
  <c r="N157"/>
  <c r="M157"/>
  <c r="L157"/>
  <c r="K157"/>
  <c r="J157"/>
  <c r="I157"/>
  <c r="H157"/>
  <c r="G157"/>
  <c r="F157"/>
  <c r="D158"/>
  <c r="E157"/>
  <c r="D157"/>
  <c r="O73"/>
  <c r="N73"/>
  <c r="M73"/>
  <c r="L73"/>
  <c r="K73"/>
  <c r="J73"/>
  <c r="I73"/>
  <c r="H73"/>
  <c r="G73"/>
  <c r="F73"/>
  <c r="E73"/>
  <c r="D73"/>
  <c r="O72"/>
  <c r="O76" s="1"/>
  <c r="N72"/>
  <c r="N82" s="1"/>
  <c r="M72"/>
  <c r="M82" s="1"/>
  <c r="L72"/>
  <c r="L82" s="1"/>
  <c r="K72"/>
  <c r="K82" s="1"/>
  <c r="J72"/>
  <c r="J82" s="1"/>
  <c r="I72"/>
  <c r="I82" s="1"/>
  <c r="H72"/>
  <c r="H82" s="1"/>
  <c r="G72"/>
  <c r="G76" s="1"/>
  <c r="F12" i="1" s="1"/>
  <c r="F72" i="17"/>
  <c r="F82" s="1"/>
  <c r="E72"/>
  <c r="E82" s="1"/>
  <c r="D72"/>
  <c r="D82" s="1"/>
  <c r="O21"/>
  <c r="O22"/>
  <c r="N22"/>
  <c r="N21"/>
  <c r="O20"/>
  <c r="N20"/>
  <c r="J22"/>
  <c r="K22"/>
  <c r="L22"/>
  <c r="M22"/>
  <c r="I22"/>
  <c r="J21"/>
  <c r="K21"/>
  <c r="L21"/>
  <c r="M21"/>
  <c r="I21"/>
  <c r="K20"/>
  <c r="L20"/>
  <c r="M20"/>
  <c r="J20"/>
  <c r="I20"/>
  <c r="E20"/>
  <c r="F20"/>
  <c r="G20"/>
  <c r="H20"/>
  <c r="E21"/>
  <c r="F21"/>
  <c r="G21"/>
  <c r="H21"/>
  <c r="E22"/>
  <c r="F22"/>
  <c r="G22"/>
  <c r="H22"/>
  <c r="D22"/>
  <c r="D21"/>
  <c r="D20"/>
  <c r="O7"/>
  <c r="O8"/>
  <c r="O9"/>
  <c r="O10"/>
  <c r="O11"/>
  <c r="O12"/>
  <c r="N12"/>
  <c r="N11"/>
  <c r="N10"/>
  <c r="N9"/>
  <c r="N8"/>
  <c r="N7"/>
  <c r="K12"/>
  <c r="L12"/>
  <c r="M12"/>
  <c r="J12"/>
  <c r="K11"/>
  <c r="L11"/>
  <c r="M11"/>
  <c r="J11"/>
  <c r="J10"/>
  <c r="K10"/>
  <c r="L10"/>
  <c r="M10"/>
  <c r="I10"/>
  <c r="K9"/>
  <c r="L9"/>
  <c r="M9"/>
  <c r="J9"/>
  <c r="K8"/>
  <c r="L8"/>
  <c r="M8"/>
  <c r="J8"/>
  <c r="K7"/>
  <c r="L7"/>
  <c r="M7"/>
  <c r="J7"/>
  <c r="I12"/>
  <c r="I11"/>
  <c r="I9"/>
  <c r="I8"/>
  <c r="I7"/>
  <c r="E12"/>
  <c r="F12"/>
  <c r="G12"/>
  <c r="H12"/>
  <c r="D12"/>
  <c r="E11"/>
  <c r="F11"/>
  <c r="G11"/>
  <c r="H11"/>
  <c r="D11"/>
  <c r="E10"/>
  <c r="F10"/>
  <c r="G10"/>
  <c r="H10"/>
  <c r="D10"/>
  <c r="E9"/>
  <c r="F9"/>
  <c r="G9"/>
  <c r="H9"/>
  <c r="D9"/>
  <c r="E8"/>
  <c r="F8"/>
  <c r="G8"/>
  <c r="H8"/>
  <c r="D8"/>
  <c r="E7"/>
  <c r="F7"/>
  <c r="G7"/>
  <c r="H7"/>
  <c r="D7"/>
  <c r="N76" l="1"/>
  <c r="L76"/>
  <c r="K12" i="1" s="1"/>
  <c r="O82" i="17"/>
  <c r="G82"/>
  <c r="D76"/>
  <c r="C12" i="1" s="1"/>
  <c r="E76" i="17"/>
  <c r="D12" i="1" s="1"/>
  <c r="I76" i="17"/>
  <c r="H12" i="1" s="1"/>
  <c r="M76" i="17"/>
  <c r="F76"/>
  <c r="E12" i="1" s="1"/>
  <c r="J76" i="17"/>
  <c r="I12" i="1" s="1"/>
  <c r="H76" i="17"/>
  <c r="G12" i="1" s="1"/>
  <c r="K76" i="17"/>
  <c r="J12" i="1" s="1"/>
  <c r="I23" i="4" l="1"/>
  <c r="J23"/>
  <c r="K23"/>
  <c r="L23"/>
  <c r="M23"/>
  <c r="N23"/>
  <c r="M54" l="1"/>
  <c r="N54" s="1"/>
  <c r="G54"/>
  <c r="H54" s="1"/>
  <c r="E54"/>
  <c r="F54" s="1"/>
  <c r="F51" i="26"/>
  <c r="I33" i="15"/>
  <c r="J33" s="1"/>
  <c r="G33"/>
  <c r="H33" s="1"/>
  <c r="C33"/>
  <c r="D33" s="1"/>
  <c r="E33"/>
  <c r="F33" s="1"/>
  <c r="J32" i="11"/>
  <c r="K32"/>
  <c r="L32"/>
  <c r="M32"/>
  <c r="I32"/>
  <c r="H32"/>
  <c r="J24"/>
  <c r="K24"/>
  <c r="L24"/>
  <c r="M24"/>
  <c r="I24"/>
  <c r="G24"/>
  <c r="O416" i="17"/>
  <c r="N416"/>
  <c r="M416"/>
  <c r="L416"/>
  <c r="K416"/>
  <c r="J416"/>
  <c r="I416"/>
  <c r="H416"/>
  <c r="G416"/>
  <c r="H24" i="11" s="1"/>
  <c r="F416" i="17"/>
  <c r="E416"/>
  <c r="D416"/>
  <c r="O413"/>
  <c r="N413"/>
  <c r="M413"/>
  <c r="M23" i="11"/>
  <c r="L23"/>
  <c r="K23"/>
  <c r="J23"/>
  <c r="I23"/>
  <c r="H23"/>
  <c r="G23"/>
  <c r="E413" i="17"/>
  <c r="D413"/>
  <c r="O410"/>
  <c r="N410"/>
  <c r="M410"/>
  <c r="L410"/>
  <c r="M22" i="11" s="1"/>
  <c r="K410" i="17"/>
  <c r="L22" i="11" s="1"/>
  <c r="J410" i="17"/>
  <c r="K22" i="11" s="1"/>
  <c r="I410" i="17"/>
  <c r="J22" i="11" s="1"/>
  <c r="H410" i="17"/>
  <c r="I22" i="11" s="1"/>
  <c r="G410" i="17"/>
  <c r="H22" i="11" s="1"/>
  <c r="F410" i="17"/>
  <c r="G22" i="11" s="1"/>
  <c r="E410" i="17"/>
  <c r="E22" i="11" s="1"/>
  <c r="F22" s="1"/>
  <c r="D410" i="17"/>
  <c r="C22" i="11" s="1"/>
  <c r="D22" s="1"/>
  <c r="O479" i="17"/>
  <c r="N479"/>
  <c r="M479"/>
  <c r="L479"/>
  <c r="K479"/>
  <c r="J479"/>
  <c r="I479"/>
  <c r="H479"/>
  <c r="G479"/>
  <c r="F479"/>
  <c r="E479"/>
  <c r="D479"/>
  <c r="O476"/>
  <c r="N476"/>
  <c r="M476"/>
  <c r="M52" i="11"/>
  <c r="L52"/>
  <c r="K52"/>
  <c r="J52"/>
  <c r="I52"/>
  <c r="H52"/>
  <c r="G52"/>
  <c r="E52"/>
  <c r="F52" s="1"/>
  <c r="C52"/>
  <c r="D52" s="1"/>
  <c r="O473" i="17"/>
  <c r="N473"/>
  <c r="M473"/>
  <c r="M51" i="11"/>
  <c r="L51"/>
  <c r="K51"/>
  <c r="J51"/>
  <c r="I51"/>
  <c r="H51"/>
  <c r="G51"/>
  <c r="E51"/>
  <c r="C51"/>
  <c r="O470" i="17"/>
  <c r="N470"/>
  <c r="M470"/>
  <c r="L470"/>
  <c r="M50" i="11" s="1"/>
  <c r="K470" i="17"/>
  <c r="L50" i="11" s="1"/>
  <c r="J470" i="17"/>
  <c r="K50" i="11" s="1"/>
  <c r="I470" i="17"/>
  <c r="J50" i="11" s="1"/>
  <c r="H470" i="17"/>
  <c r="I50" i="11" s="1"/>
  <c r="G470" i="17"/>
  <c r="H50" i="11" s="1"/>
  <c r="F470" i="17"/>
  <c r="G50" i="11" s="1"/>
  <c r="E470" i="17"/>
  <c r="E50" i="11" s="1"/>
  <c r="D470" i="17"/>
  <c r="C50" i="11" s="1"/>
  <c r="O467" i="17"/>
  <c r="N467"/>
  <c r="M467"/>
  <c r="M49" i="11"/>
  <c r="L49"/>
  <c r="K49"/>
  <c r="J49"/>
  <c r="I49"/>
  <c r="H49"/>
  <c r="G49"/>
  <c r="E49"/>
  <c r="C49"/>
  <c r="O464" i="17"/>
  <c r="N464"/>
  <c r="M464"/>
  <c r="L464"/>
  <c r="K464"/>
  <c r="J464"/>
  <c r="I464"/>
  <c r="H464"/>
  <c r="G464"/>
  <c r="G47" i="11"/>
  <c r="E47"/>
  <c r="C47"/>
  <c r="O461" i="17"/>
  <c r="N461"/>
  <c r="M461"/>
  <c r="L461"/>
  <c r="M46" i="11" s="1"/>
  <c r="K461" i="17"/>
  <c r="L46" i="11" s="1"/>
  <c r="J461" i="17"/>
  <c r="K46" i="11" s="1"/>
  <c r="I461" i="17"/>
  <c r="J46" i="11" s="1"/>
  <c r="H461" i="17"/>
  <c r="I46" i="11" s="1"/>
  <c r="G461" i="17"/>
  <c r="H46" i="11" s="1"/>
  <c r="F461" i="17"/>
  <c r="G46" i="11" s="1"/>
  <c r="E461" i="17"/>
  <c r="E46" i="11" s="1"/>
  <c r="D461" i="17"/>
  <c r="C46" i="11" s="1"/>
  <c r="O458" i="17"/>
  <c r="N458"/>
  <c r="M458"/>
  <c r="L458"/>
  <c r="M45" i="11" s="1"/>
  <c r="K458" i="17"/>
  <c r="L45" i="11" s="1"/>
  <c r="J458" i="17"/>
  <c r="K45" i="11" s="1"/>
  <c r="I458" i="17"/>
  <c r="J45" i="11" s="1"/>
  <c r="H458" i="17"/>
  <c r="I45" i="11" s="1"/>
  <c r="G458" i="17"/>
  <c r="H45" i="11" s="1"/>
  <c r="F458" i="17"/>
  <c r="G45" i="11" s="1"/>
  <c r="E458" i="17"/>
  <c r="F45" i="11" s="1"/>
  <c r="D458" i="17"/>
  <c r="D45" i="11" s="1"/>
  <c r="O455" i="17"/>
  <c r="N455"/>
  <c r="M455"/>
  <c r="L455"/>
  <c r="M44" i="11" s="1"/>
  <c r="K455" i="17"/>
  <c r="L44" i="11" s="1"/>
  <c r="J455" i="17"/>
  <c r="K44" i="11" s="1"/>
  <c r="I455" i="17"/>
  <c r="J44" i="11" s="1"/>
  <c r="H455" i="17"/>
  <c r="I44" i="11" s="1"/>
  <c r="G455" i="17"/>
  <c r="H44" i="11" s="1"/>
  <c r="F455" i="17"/>
  <c r="G44" i="11" s="1"/>
  <c r="E455" i="17"/>
  <c r="E44" i="11" s="1"/>
  <c r="D455" i="17"/>
  <c r="C44" i="11" s="1"/>
  <c r="O452" i="17"/>
  <c r="N452"/>
  <c r="M452"/>
  <c r="L452"/>
  <c r="M43" i="11" s="1"/>
  <c r="K452" i="17"/>
  <c r="L43" i="11" s="1"/>
  <c r="J452" i="17"/>
  <c r="K43" i="11" s="1"/>
  <c r="I452" i="17"/>
  <c r="J43" i="11" s="1"/>
  <c r="H452" i="17"/>
  <c r="I43" i="11" s="1"/>
  <c r="G452" i="17"/>
  <c r="H43" i="11" s="1"/>
  <c r="F452" i="17"/>
  <c r="G43" i="11" s="1"/>
  <c r="E452" i="17"/>
  <c r="E43" i="11" s="1"/>
  <c r="D452" i="17"/>
  <c r="O449"/>
  <c r="N449"/>
  <c r="M449"/>
  <c r="L449"/>
  <c r="K449"/>
  <c r="J449"/>
  <c r="I449"/>
  <c r="H449"/>
  <c r="G449"/>
  <c r="F449"/>
  <c r="G42" i="11" s="1"/>
  <c r="E449" i="17"/>
  <c r="E42" i="11" s="1"/>
  <c r="D449" i="17"/>
  <c r="C42" i="11" s="1"/>
  <c r="O446" i="17"/>
  <c r="N446"/>
  <c r="M446"/>
  <c r="L446"/>
  <c r="M41" i="11" s="1"/>
  <c r="K446" i="17"/>
  <c r="L41" i="11" s="1"/>
  <c r="J446" i="17"/>
  <c r="K41" i="11" s="1"/>
  <c r="I446" i="17"/>
  <c r="J41" i="11" s="1"/>
  <c r="H446" i="17"/>
  <c r="I41" i="11" s="1"/>
  <c r="G446" i="17"/>
  <c r="H41" i="11" s="1"/>
  <c r="F446" i="17"/>
  <c r="G41" i="11" s="1"/>
  <c r="E446" i="17"/>
  <c r="E41" i="11" s="1"/>
  <c r="D446" i="17"/>
  <c r="C41" i="11" s="1"/>
  <c r="O443" i="17"/>
  <c r="N443"/>
  <c r="M443"/>
  <c r="L443"/>
  <c r="M39" i="11" s="1"/>
  <c r="K443" i="17"/>
  <c r="L39" i="11" s="1"/>
  <c r="J443" i="17"/>
  <c r="K39" i="11" s="1"/>
  <c r="I443" i="17"/>
  <c r="J39" i="11" s="1"/>
  <c r="H443" i="17"/>
  <c r="I39" i="11" s="1"/>
  <c r="G443" i="17"/>
  <c r="H39" i="11" s="1"/>
  <c r="F443" i="17"/>
  <c r="G39" i="11" s="1"/>
  <c r="E443" i="17"/>
  <c r="E39" i="11" s="1"/>
  <c r="F39" s="1"/>
  <c r="D443" i="17"/>
  <c r="C39" i="11" s="1"/>
  <c r="D39" s="1"/>
  <c r="O440" i="17"/>
  <c r="N440"/>
  <c r="M440"/>
  <c r="L440"/>
  <c r="M38" i="11" s="1"/>
  <c r="K440" i="17"/>
  <c r="L38" i="11" s="1"/>
  <c r="J440" i="17"/>
  <c r="K38" i="11" s="1"/>
  <c r="I440" i="17"/>
  <c r="J38" i="11" s="1"/>
  <c r="H440" i="17"/>
  <c r="I38" i="11" s="1"/>
  <c r="G440" i="17"/>
  <c r="H38" i="11" s="1"/>
  <c r="F440" i="17"/>
  <c r="G38" i="11" s="1"/>
  <c r="E440" i="17"/>
  <c r="E38" i="11" s="1"/>
  <c r="F38" s="1"/>
  <c r="D440" i="17"/>
  <c r="C38" i="11" s="1"/>
  <c r="D38" s="1"/>
  <c r="O437" i="17"/>
  <c r="N437"/>
  <c r="M437"/>
  <c r="L437"/>
  <c r="M36" i="11" s="1"/>
  <c r="K437" i="17"/>
  <c r="L36" i="11" s="1"/>
  <c r="J437" i="17"/>
  <c r="K36" i="11" s="1"/>
  <c r="I437" i="17"/>
  <c r="J36" i="11" s="1"/>
  <c r="H437" i="17"/>
  <c r="I36" i="11" s="1"/>
  <c r="G437" i="17"/>
  <c r="H36" i="11" s="1"/>
  <c r="F437" i="17"/>
  <c r="G36" i="11" s="1"/>
  <c r="E437" i="17"/>
  <c r="E36" i="11" s="1"/>
  <c r="D437" i="17"/>
  <c r="C36" i="11" s="1"/>
  <c r="O434" i="17"/>
  <c r="N434"/>
  <c r="M434"/>
  <c r="L434"/>
  <c r="M35" i="11" s="1"/>
  <c r="K434" i="17"/>
  <c r="L35" i="11" s="1"/>
  <c r="J434" i="17"/>
  <c r="K35" i="11" s="1"/>
  <c r="I434" i="17"/>
  <c r="J35" i="11" s="1"/>
  <c r="H434" i="17"/>
  <c r="I35" i="11" s="1"/>
  <c r="G434" i="17"/>
  <c r="H35" i="11" s="1"/>
  <c r="F434" i="17"/>
  <c r="G35" i="11" s="1"/>
  <c r="E434" i="17"/>
  <c r="E35" i="11" s="1"/>
  <c r="F35" s="1"/>
  <c r="D434" i="17"/>
  <c r="C35" i="11" s="1"/>
  <c r="D35" s="1"/>
  <c r="O431" i="17"/>
  <c r="N431"/>
  <c r="M431"/>
  <c r="M33" i="11"/>
  <c r="L33"/>
  <c r="K33"/>
  <c r="I431" i="17"/>
  <c r="J33" i="11" s="1"/>
  <c r="H431" i="17"/>
  <c r="I33" i="11" s="1"/>
  <c r="H33"/>
  <c r="G33"/>
  <c r="E33"/>
  <c r="C33"/>
  <c r="O428" i="17"/>
  <c r="N428"/>
  <c r="M428"/>
  <c r="L428"/>
  <c r="K428"/>
  <c r="J428"/>
  <c r="I428"/>
  <c r="H428"/>
  <c r="G428"/>
  <c r="F428"/>
  <c r="E428"/>
  <c r="D428"/>
  <c r="O425"/>
  <c r="N425"/>
  <c r="M425"/>
  <c r="L425"/>
  <c r="K425"/>
  <c r="J425"/>
  <c r="I425"/>
  <c r="H425"/>
  <c r="G425"/>
  <c r="H31" i="11" s="1"/>
  <c r="F425" i="17"/>
  <c r="G31" i="11" s="1"/>
  <c r="E425" i="17"/>
  <c r="E31" i="11" s="1"/>
  <c r="F31" s="1"/>
  <c r="D425" i="17"/>
  <c r="C31" i="11" s="1"/>
  <c r="D31" s="1"/>
  <c r="O422" i="17"/>
  <c r="N422"/>
  <c r="M422"/>
  <c r="L422"/>
  <c r="M30" i="11" s="1"/>
  <c r="K422" i="17"/>
  <c r="L30" i="11" s="1"/>
  <c r="J422" i="17"/>
  <c r="I422"/>
  <c r="J30" i="11" s="1"/>
  <c r="H422" i="17"/>
  <c r="I30" i="11" s="1"/>
  <c r="G422" i="17"/>
  <c r="H30" i="11" s="1"/>
  <c r="F422" i="17"/>
  <c r="E422"/>
  <c r="E30" i="11" s="1"/>
  <c r="F30" s="1"/>
  <c r="D422" i="17"/>
  <c r="C30" i="11" s="1"/>
  <c r="D30" s="1"/>
  <c r="O419" i="17"/>
  <c r="N419"/>
  <c r="M419"/>
  <c r="L419"/>
  <c r="M29" i="11" s="1"/>
  <c r="K419" i="17"/>
  <c r="L29" i="11" s="1"/>
  <c r="J419" i="17"/>
  <c r="K29" i="11" s="1"/>
  <c r="I419" i="17"/>
  <c r="J29" i="11" s="1"/>
  <c r="H419" i="17"/>
  <c r="I29" i="11" s="1"/>
  <c r="G419" i="17"/>
  <c r="G29" i="11" s="1"/>
  <c r="F419" i="17"/>
  <c r="E419"/>
  <c r="E29" i="11" s="1"/>
  <c r="F29" s="1"/>
  <c r="D419" i="17"/>
  <c r="C29" i="11" s="1"/>
  <c r="D29" s="1"/>
  <c r="H29" l="1"/>
  <c r="C43"/>
  <c r="O407" i="17" l="1"/>
  <c r="N407"/>
  <c r="M407"/>
  <c r="L407"/>
  <c r="K407"/>
  <c r="M14" i="11" s="1"/>
  <c r="J407" i="17"/>
  <c r="L14" i="11" s="1"/>
  <c r="I407" i="17"/>
  <c r="K14" i="11" s="1"/>
  <c r="H407" i="17"/>
  <c r="J14" i="11" s="1"/>
  <c r="G407" i="17"/>
  <c r="F407"/>
  <c r="H14" i="11" s="1"/>
  <c r="E407" i="17"/>
  <c r="E14" i="11" s="1"/>
  <c r="F14" s="1"/>
  <c r="D407" i="17"/>
  <c r="C14" i="11" s="1"/>
  <c r="D14" s="1"/>
  <c r="O404" i="17"/>
  <c r="N404"/>
  <c r="M404"/>
  <c r="L404"/>
  <c r="K404"/>
  <c r="M13" i="11" s="1"/>
  <c r="J404" i="17"/>
  <c r="L13" i="11" s="1"/>
  <c r="I404" i="17"/>
  <c r="K13" i="11" s="1"/>
  <c r="H404" i="17"/>
  <c r="J13" i="11" s="1"/>
  <c r="G404" i="17"/>
  <c r="I13" i="11" s="1"/>
  <c r="F404" i="17"/>
  <c r="H13" i="11" s="1"/>
  <c r="E404" i="17"/>
  <c r="E13" i="11" s="1"/>
  <c r="F13" s="1"/>
  <c r="D404" i="17"/>
  <c r="C13" i="11" s="1"/>
  <c r="D13" s="1"/>
  <c r="O401" i="17"/>
  <c r="N401"/>
  <c r="M401"/>
  <c r="L401"/>
  <c r="K401"/>
  <c r="M12" i="11" s="1"/>
  <c r="J401" i="17"/>
  <c r="L12" i="11" s="1"/>
  <c r="I401" i="17"/>
  <c r="K12" i="11" s="1"/>
  <c r="H401" i="17"/>
  <c r="J12" i="11" s="1"/>
  <c r="G401" i="17"/>
  <c r="I12" i="11" s="1"/>
  <c r="F401" i="17"/>
  <c r="G12" i="11" s="1"/>
  <c r="E401" i="17"/>
  <c r="E12" i="11" s="1"/>
  <c r="F12" s="1"/>
  <c r="D401" i="17"/>
  <c r="C12" i="11" s="1"/>
  <c r="D12" s="1"/>
  <c r="O398" i="17"/>
  <c r="N398"/>
  <c r="M398"/>
  <c r="L398"/>
  <c r="M11" i="11"/>
  <c r="L11"/>
  <c r="K11"/>
  <c r="H11"/>
  <c r="G11"/>
  <c r="E11"/>
  <c r="F11" s="1"/>
  <c r="C11"/>
  <c r="D11" s="1"/>
  <c r="O395" i="17"/>
  <c r="N395"/>
  <c r="M395"/>
  <c r="L395"/>
  <c r="M10" i="11" s="1"/>
  <c r="K395" i="17"/>
  <c r="L10" i="11" s="1"/>
  <c r="J395" i="17"/>
  <c r="K10" i="11" s="1"/>
  <c r="I395" i="17"/>
  <c r="J10" i="11" s="1"/>
  <c r="H395" i="17"/>
  <c r="I10" i="11" s="1"/>
  <c r="G395" i="17"/>
  <c r="H10" i="11" s="1"/>
  <c r="F395" i="17"/>
  <c r="G10" i="11" s="1"/>
  <c r="E395" i="17"/>
  <c r="E10" i="11" s="1"/>
  <c r="F10" s="1"/>
  <c r="D395" i="17"/>
  <c r="C10" i="11" s="1"/>
  <c r="D10" s="1"/>
  <c r="M9"/>
  <c r="L9"/>
  <c r="K9"/>
  <c r="J9"/>
  <c r="E9"/>
  <c r="F9"/>
  <c r="G9"/>
  <c r="H9"/>
  <c r="I9"/>
  <c r="D9"/>
  <c r="C9"/>
  <c r="O392" i="17"/>
  <c r="N392"/>
  <c r="M392"/>
  <c r="L392"/>
  <c r="K392"/>
  <c r="J392"/>
  <c r="I392"/>
  <c r="H392"/>
  <c r="G392"/>
  <c r="F392"/>
  <c r="E392"/>
  <c r="D392"/>
  <c r="F22" i="10"/>
  <c r="D22"/>
  <c r="C22"/>
  <c r="L31" i="8"/>
  <c r="K31" s="1"/>
  <c r="J31"/>
  <c r="I31" s="1"/>
  <c r="O353" i="17"/>
  <c r="N353"/>
  <c r="M353"/>
  <c r="L353"/>
  <c r="J33" i="16" s="1"/>
  <c r="I33" s="1"/>
  <c r="K353" i="17"/>
  <c r="H33" i="16" s="1"/>
  <c r="G33" s="1"/>
  <c r="J353" i="17"/>
  <c r="F33" i="16" s="1"/>
  <c r="E33" s="1"/>
  <c r="I353" i="17"/>
  <c r="D33" i="16" s="1"/>
  <c r="C33" s="1"/>
  <c r="H353" i="17"/>
  <c r="G353"/>
  <c r="F353"/>
  <c r="E353"/>
  <c r="D353"/>
  <c r="F25" i="16"/>
  <c r="D25"/>
  <c r="L23" i="8"/>
  <c r="K23" s="1"/>
  <c r="J23"/>
  <c r="I23" s="1"/>
  <c r="H23"/>
  <c r="G23" s="1"/>
  <c r="F23"/>
  <c r="E23" s="1"/>
  <c r="D23"/>
  <c r="C23" s="1"/>
  <c r="K33" i="4"/>
  <c r="I33"/>
  <c r="G33"/>
  <c r="E33"/>
  <c r="C33"/>
  <c r="I34" i="25"/>
  <c r="G34"/>
  <c r="E34"/>
  <c r="C34"/>
  <c r="D31" i="26"/>
  <c r="E31"/>
  <c r="F31"/>
  <c r="G31"/>
  <c r="C31"/>
  <c r="D27" i="2"/>
  <c r="E27"/>
  <c r="F27"/>
  <c r="C27"/>
  <c r="E242" i="17"/>
  <c r="F242"/>
  <c r="G242"/>
  <c r="H242"/>
  <c r="I242"/>
  <c r="J242"/>
  <c r="K242"/>
  <c r="L242"/>
  <c r="M242"/>
  <c r="N242"/>
  <c r="O242"/>
  <c r="E234"/>
  <c r="F234"/>
  <c r="G234"/>
  <c r="H234"/>
  <c r="I234"/>
  <c r="J234"/>
  <c r="K234"/>
  <c r="L234"/>
  <c r="M234"/>
  <c r="N234"/>
  <c r="O234"/>
  <c r="G35" i="4"/>
  <c r="E35"/>
  <c r="C29" i="2"/>
  <c r="D235" i="17"/>
  <c r="D234"/>
  <c r="C34" i="15"/>
  <c r="D34" s="1"/>
  <c r="E34"/>
  <c r="F34" s="1"/>
  <c r="G34"/>
  <c r="H34" s="1"/>
  <c r="I34"/>
  <c r="J34" s="1"/>
  <c r="K34"/>
  <c r="L34" s="1"/>
  <c r="M34"/>
  <c r="C32"/>
  <c r="D32" s="1"/>
  <c r="E32"/>
  <c r="F32" s="1"/>
  <c r="G32"/>
  <c r="H32" s="1"/>
  <c r="I32"/>
  <c r="J32" s="1"/>
  <c r="K32"/>
  <c r="L32" s="1"/>
  <c r="M32"/>
  <c r="C31"/>
  <c r="D31" s="1"/>
  <c r="E31"/>
  <c r="F31" s="1"/>
  <c r="G31"/>
  <c r="H31" s="1"/>
  <c r="I31"/>
  <c r="J31" s="1"/>
  <c r="K31"/>
  <c r="L31" s="1"/>
  <c r="M31"/>
  <c r="N223" i="17" l="1"/>
  <c r="M36" i="4" s="1"/>
  <c r="L223" i="17"/>
  <c r="K36" i="4" s="1"/>
  <c r="J223" i="17"/>
  <c r="E223"/>
  <c r="G223"/>
  <c r="C36" i="4" s="1"/>
  <c r="D223" i="17"/>
  <c r="O223"/>
  <c r="N36" i="4" s="1"/>
  <c r="K223" i="17"/>
  <c r="J36" i="4" s="1"/>
  <c r="M223" i="17"/>
  <c r="L36" i="4" s="1"/>
  <c r="I223" i="17"/>
  <c r="F223"/>
  <c r="H223"/>
  <c r="D36" i="4" s="1"/>
  <c r="I35" i="15"/>
  <c r="J35" s="1"/>
  <c r="J11" i="11"/>
  <c r="I11"/>
  <c r="F33" i="26"/>
  <c r="C35" i="15"/>
  <c r="D35" s="1"/>
  <c r="E36" i="25"/>
  <c r="E35" i="15"/>
  <c r="F35" s="1"/>
  <c r="K33"/>
  <c r="L33" s="1"/>
  <c r="G36" i="25"/>
  <c r="G35" i="15"/>
  <c r="H35" s="1"/>
  <c r="D55" i="25"/>
  <c r="E55"/>
  <c r="F55" s="1"/>
  <c r="G55"/>
  <c r="H55" s="1"/>
  <c r="G54" i="15"/>
  <c r="H54" s="1"/>
  <c r="I55" i="25"/>
  <c r="J55" s="1"/>
  <c r="I54" i="15"/>
  <c r="J54" s="1"/>
  <c r="K54"/>
  <c r="L54" s="1"/>
  <c r="K55" i="25"/>
  <c r="L55" s="1"/>
  <c r="M55"/>
  <c r="N55" s="1"/>
  <c r="M54" i="15"/>
  <c r="G13" i="11"/>
  <c r="G14"/>
  <c r="H12"/>
  <c r="I14"/>
  <c r="C35" i="4"/>
  <c r="I35"/>
  <c r="G33" i="26"/>
  <c r="K35" i="4"/>
  <c r="E29" i="2"/>
  <c r="F29"/>
  <c r="E33" i="26"/>
  <c r="C36" i="25"/>
  <c r="K36"/>
  <c r="C33" i="26"/>
  <c r="D33"/>
  <c r="D29" i="2"/>
  <c r="K34" i="25"/>
  <c r="M34"/>
  <c r="I36"/>
  <c r="H25" i="16"/>
  <c r="G36" i="4" l="1"/>
  <c r="H36" s="1"/>
  <c r="E36"/>
  <c r="I36"/>
  <c r="F36"/>
  <c r="M33" i="15"/>
  <c r="K35"/>
  <c r="L35" s="1"/>
  <c r="E158" i="17"/>
  <c r="F158"/>
  <c r="G158"/>
  <c r="H158"/>
  <c r="I158"/>
  <c r="J158"/>
  <c r="K158"/>
  <c r="L158"/>
  <c r="M158"/>
  <c r="N158"/>
  <c r="O158"/>
  <c r="E173"/>
  <c r="F173"/>
  <c r="G173"/>
  <c r="H173"/>
  <c r="I173"/>
  <c r="J173"/>
  <c r="K173"/>
  <c r="L173"/>
  <c r="M173"/>
  <c r="N173"/>
  <c r="O173"/>
  <c r="D173"/>
  <c r="E127"/>
  <c r="F127"/>
  <c r="G127"/>
  <c r="H127"/>
  <c r="I127"/>
  <c r="J127"/>
  <c r="K127"/>
  <c r="L127"/>
  <c r="M127"/>
  <c r="N127"/>
  <c r="O127"/>
  <c r="D127"/>
  <c r="E121"/>
  <c r="E136" s="1"/>
  <c r="E151" s="1"/>
  <c r="E167" s="1"/>
  <c r="F121"/>
  <c r="F136" s="1"/>
  <c r="F151" s="1"/>
  <c r="F167" s="1"/>
  <c r="G121"/>
  <c r="G136" s="1"/>
  <c r="G151" s="1"/>
  <c r="G167" s="1"/>
  <c r="H121"/>
  <c r="H136" s="1"/>
  <c r="H151" s="1"/>
  <c r="H167" s="1"/>
  <c r="I121"/>
  <c r="I136" s="1"/>
  <c r="I151" s="1"/>
  <c r="I167" s="1"/>
  <c r="J121"/>
  <c r="J136" s="1"/>
  <c r="J151" s="1"/>
  <c r="J167" s="1"/>
  <c r="K121"/>
  <c r="K136" s="1"/>
  <c r="K151" s="1"/>
  <c r="K167" s="1"/>
  <c r="L121"/>
  <c r="L136" s="1"/>
  <c r="L151" s="1"/>
  <c r="L167" s="1"/>
  <c r="M121"/>
  <c r="M136" s="1"/>
  <c r="M151" s="1"/>
  <c r="M167" s="1"/>
  <c r="N121"/>
  <c r="N136" s="1"/>
  <c r="N151" s="1"/>
  <c r="N167" s="1"/>
  <c r="O121"/>
  <c r="O136" s="1"/>
  <c r="O151" s="1"/>
  <c r="O167" s="1"/>
  <c r="D121"/>
  <c r="D136" s="1"/>
  <c r="D151" s="1"/>
  <c r="D167" s="1"/>
  <c r="E106"/>
  <c r="F106"/>
  <c r="G106"/>
  <c r="H106"/>
  <c r="I106"/>
  <c r="J106"/>
  <c r="K106"/>
  <c r="L106"/>
  <c r="M106"/>
  <c r="N106"/>
  <c r="O106"/>
  <c r="D106"/>
  <c r="E112"/>
  <c r="F112"/>
  <c r="G112"/>
  <c r="H112"/>
  <c r="I112"/>
  <c r="J112"/>
  <c r="K112"/>
  <c r="L112"/>
  <c r="M112"/>
  <c r="N112"/>
  <c r="O112"/>
  <c r="D112"/>
  <c r="H123"/>
  <c r="H138" s="1"/>
  <c r="H153" s="1"/>
  <c r="H169" s="1"/>
  <c r="I123"/>
  <c r="I138" s="1"/>
  <c r="I153" s="1"/>
  <c r="I169" s="1"/>
  <c r="J123"/>
  <c r="J138" s="1"/>
  <c r="J153" s="1"/>
  <c r="J169" s="1"/>
  <c r="K123"/>
  <c r="K138" s="1"/>
  <c r="K153" s="1"/>
  <c r="K169" s="1"/>
  <c r="L123"/>
  <c r="L138" s="1"/>
  <c r="L153" s="1"/>
  <c r="L169" s="1"/>
  <c r="M123"/>
  <c r="M138" s="1"/>
  <c r="M153" s="1"/>
  <c r="M169" s="1"/>
  <c r="N123"/>
  <c r="N138" s="1"/>
  <c r="N153" s="1"/>
  <c r="N169" s="1"/>
  <c r="O123"/>
  <c r="O138" s="1"/>
  <c r="O153" s="1"/>
  <c r="O169" s="1"/>
  <c r="E123"/>
  <c r="E138" s="1"/>
  <c r="E153" s="1"/>
  <c r="E169" s="1"/>
  <c r="F123"/>
  <c r="F138" s="1"/>
  <c r="F153" s="1"/>
  <c r="F169" s="1"/>
  <c r="G123"/>
  <c r="G138" s="1"/>
  <c r="G153" s="1"/>
  <c r="G169" s="1"/>
  <c r="D123"/>
  <c r="D138" s="1"/>
  <c r="D153" s="1"/>
  <c r="D169" s="1"/>
  <c r="D24" i="1"/>
  <c r="M35" i="15" l="1"/>
  <c r="G58" i="21"/>
  <c r="F31" i="10" l="1"/>
  <c r="F33" s="1"/>
  <c r="E31"/>
  <c r="E33" s="1"/>
  <c r="D31"/>
  <c r="D33" s="1"/>
  <c r="C31"/>
  <c r="C33" s="1"/>
  <c r="D35" i="16"/>
  <c r="C35" s="1"/>
  <c r="C37" s="1"/>
  <c r="D41"/>
  <c r="C41" s="1"/>
  <c r="C43" s="1"/>
  <c r="O389" i="17"/>
  <c r="N389"/>
  <c r="M389"/>
  <c r="L389"/>
  <c r="J35" i="16" s="1"/>
  <c r="K389" i="17"/>
  <c r="H35" i="16" s="1"/>
  <c r="J389" i="17"/>
  <c r="F35" i="16" s="1"/>
  <c r="I389" i="17"/>
  <c r="H389"/>
  <c r="L33" i="8" s="1"/>
  <c r="K33" s="1"/>
  <c r="G389" i="17"/>
  <c r="J33" i="8" s="1"/>
  <c r="I33" s="1"/>
  <c r="F389" i="17"/>
  <c r="H33" i="8" s="1"/>
  <c r="G33" s="1"/>
  <c r="E389" i="17"/>
  <c r="F33" i="8" s="1"/>
  <c r="E33" s="1"/>
  <c r="D389" i="17"/>
  <c r="D33" i="8" s="1"/>
  <c r="G21" i="26"/>
  <c r="F21"/>
  <c r="E21"/>
  <c r="D21"/>
  <c r="C21"/>
  <c r="D29"/>
  <c r="E29"/>
  <c r="F20" i="7"/>
  <c r="G29" i="26"/>
  <c r="C29"/>
  <c r="E20" i="7"/>
  <c r="E129" i="17"/>
  <c r="F129"/>
  <c r="E9" i="7" s="1"/>
  <c r="G129" i="17"/>
  <c r="F9" i="7" s="1"/>
  <c r="H129" i="17"/>
  <c r="I129"/>
  <c r="J129"/>
  <c r="I16" i="15" s="1"/>
  <c r="J16" s="1"/>
  <c r="K129" i="17"/>
  <c r="K16" i="15" s="1"/>
  <c r="L16" s="1"/>
  <c r="L129" i="17"/>
  <c r="M16" i="15" s="1"/>
  <c r="M129" i="17"/>
  <c r="N129"/>
  <c r="O129"/>
  <c r="D129"/>
  <c r="C9" i="7" s="1"/>
  <c r="E32" i="26"/>
  <c r="F32"/>
  <c r="G32"/>
  <c r="C32"/>
  <c r="O42" i="17"/>
  <c r="M64"/>
  <c r="L64"/>
  <c r="K64"/>
  <c r="J64"/>
  <c r="I64"/>
  <c r="D62"/>
  <c r="M62"/>
  <c r="L62"/>
  <c r="K62"/>
  <c r="J62"/>
  <c r="I62"/>
  <c r="H62"/>
  <c r="G62"/>
  <c r="F62"/>
  <c r="E62"/>
  <c r="E16" i="4" l="1"/>
  <c r="F16" s="1"/>
  <c r="D9" i="7"/>
  <c r="E14" i="26"/>
  <c r="F14" s="1"/>
  <c r="G16" i="4"/>
  <c r="M16"/>
  <c r="N16" s="1"/>
  <c r="G16" i="15"/>
  <c r="H16" s="1"/>
  <c r="C14" i="26"/>
  <c r="D14" s="1"/>
  <c r="C16" i="4"/>
  <c r="D16" s="1"/>
  <c r="G14" i="26"/>
  <c r="K16" i="4"/>
  <c r="L16" s="1"/>
  <c r="E16" i="15"/>
  <c r="F16" s="1"/>
  <c r="I16" i="4"/>
  <c r="J16" s="1"/>
  <c r="C16" i="15"/>
  <c r="D16" s="1"/>
  <c r="D37" i="16"/>
  <c r="F9" i="8"/>
  <c r="E9" s="1"/>
  <c r="G35" i="16"/>
  <c r="G37" s="1"/>
  <c r="H37"/>
  <c r="D20" i="7"/>
  <c r="D9" i="8"/>
  <c r="C9" s="1"/>
  <c r="L9"/>
  <c r="K9" s="1"/>
  <c r="H9"/>
  <c r="G9" s="1"/>
  <c r="J9"/>
  <c r="I9" s="1"/>
  <c r="D43" i="16"/>
  <c r="E35"/>
  <c r="E37" s="1"/>
  <c r="F37"/>
  <c r="I35"/>
  <c r="I37" s="1"/>
  <c r="J37"/>
  <c r="C20" i="7"/>
  <c r="D32" i="26"/>
  <c r="F29"/>
  <c r="L39" i="8"/>
  <c r="K39" s="1"/>
  <c r="J39"/>
  <c r="I39" s="1"/>
  <c r="H39"/>
  <c r="G39" s="1"/>
  <c r="F39"/>
  <c r="E39" s="1"/>
  <c r="D39"/>
  <c r="C39" s="1"/>
  <c r="E37" i="26" l="1"/>
  <c r="G39" i="15"/>
  <c r="H39" s="1"/>
  <c r="I39"/>
  <c r="J39" s="1"/>
  <c r="K39"/>
  <c r="L39" s="1"/>
  <c r="M39"/>
  <c r="D37" i="26"/>
  <c r="C37"/>
  <c r="O243" i="17"/>
  <c r="I243"/>
  <c r="J243"/>
  <c r="K243"/>
  <c r="L243"/>
  <c r="M243"/>
  <c r="N243"/>
  <c r="H243"/>
  <c r="E243"/>
  <c r="F243"/>
  <c r="G243"/>
  <c r="D243"/>
  <c r="O235"/>
  <c r="N235"/>
  <c r="M235"/>
  <c r="L235"/>
  <c r="K235"/>
  <c r="J235"/>
  <c r="I235"/>
  <c r="H235"/>
  <c r="G235"/>
  <c r="F235"/>
  <c r="E235"/>
  <c r="D242"/>
  <c r="N42"/>
  <c r="M42"/>
  <c r="L42"/>
  <c r="K42"/>
  <c r="J42"/>
  <c r="I42"/>
  <c r="H42"/>
  <c r="G42"/>
  <c r="F42"/>
  <c r="D287"/>
  <c r="D285"/>
  <c r="D284"/>
  <c r="J23"/>
  <c r="D23"/>
  <c r="C37" i="2" s="1"/>
  <c r="G37" i="26" l="1"/>
  <c r="E39" i="15"/>
  <c r="F39" s="1"/>
  <c r="F37" i="26"/>
  <c r="C39" i="15"/>
  <c r="D39" s="1"/>
  <c r="C26" i="2"/>
  <c r="C30" i="26"/>
  <c r="O23" i="17"/>
  <c r="H23"/>
  <c r="I23"/>
  <c r="N23"/>
  <c r="E23"/>
  <c r="D37" i="2" s="1"/>
  <c r="K23" i="17"/>
  <c r="L23"/>
  <c r="M23"/>
  <c r="G23"/>
  <c r="F37" i="2" s="1"/>
  <c r="F23" i="17"/>
  <c r="E37" i="2" s="1"/>
  <c r="O83" i="17" l="1"/>
  <c r="N83"/>
  <c r="M83"/>
  <c r="L83"/>
  <c r="K83"/>
  <c r="J83"/>
  <c r="I83"/>
  <c r="H83"/>
  <c r="G83"/>
  <c r="F83"/>
  <c r="E83"/>
  <c r="D83"/>
  <c r="G50" i="21"/>
  <c r="G42"/>
  <c r="C42"/>
  <c r="C50"/>
  <c r="G34"/>
  <c r="C34"/>
  <c r="G26"/>
  <c r="C26"/>
  <c r="G18"/>
  <c r="C18"/>
  <c r="G10"/>
  <c r="C10"/>
  <c r="E42" i="17"/>
  <c r="D42"/>
  <c r="D86"/>
  <c r="D88"/>
  <c r="E88"/>
  <c r="F88"/>
  <c r="G88"/>
  <c r="H88"/>
  <c r="I88"/>
  <c r="J88"/>
  <c r="K88"/>
  <c r="L88"/>
  <c r="O88" s="1"/>
  <c r="B12" i="1"/>
  <c r="B11"/>
  <c r="B10"/>
  <c r="B9"/>
  <c r="E64" i="17"/>
  <c r="F64"/>
  <c r="G64"/>
  <c r="H64"/>
  <c r="D64"/>
  <c r="D63"/>
  <c r="O31"/>
  <c r="N31"/>
  <c r="K31"/>
  <c r="L31"/>
  <c r="M31"/>
  <c r="J31"/>
  <c r="I31"/>
  <c r="E31"/>
  <c r="F31"/>
  <c r="G31"/>
  <c r="H31"/>
  <c r="O32"/>
  <c r="D31"/>
  <c r="N32"/>
  <c r="K32"/>
  <c r="L32"/>
  <c r="M32"/>
  <c r="J32"/>
  <c r="I32"/>
  <c r="E32"/>
  <c r="F32"/>
  <c r="G32"/>
  <c r="H32"/>
  <c r="D32"/>
  <c r="O33"/>
  <c r="N33"/>
  <c r="K33"/>
  <c r="L33"/>
  <c r="M33"/>
  <c r="J33"/>
  <c r="I33"/>
  <c r="E33"/>
  <c r="F33"/>
  <c r="G33"/>
  <c r="H33"/>
  <c r="D33"/>
  <c r="O63"/>
  <c r="N63"/>
  <c r="K63"/>
  <c r="L63"/>
  <c r="M63"/>
  <c r="J63"/>
  <c r="I63"/>
  <c r="E63"/>
  <c r="F63"/>
  <c r="G63"/>
  <c r="H63"/>
  <c r="E26" i="10" l="1"/>
  <c r="F26"/>
  <c r="C26"/>
  <c r="D26"/>
  <c r="J19" i="1"/>
  <c r="F19"/>
  <c r="I19"/>
  <c r="E19"/>
  <c r="C19"/>
  <c r="H19"/>
  <c r="D19"/>
  <c r="K19"/>
  <c r="G19"/>
  <c r="D35" i="17"/>
  <c r="C9" i="1" s="1"/>
  <c r="N88" i="17"/>
  <c r="M88"/>
  <c r="M35"/>
  <c r="I35"/>
  <c r="H9" i="1" s="1"/>
  <c r="K35" i="17"/>
  <c r="J9" i="1" s="1"/>
  <c r="F35" i="17"/>
  <c r="E9" i="1" s="1"/>
  <c r="O35" i="17"/>
  <c r="E35"/>
  <c r="D9" i="1" s="1"/>
  <c r="L35" i="17"/>
  <c r="K9" i="1" s="1"/>
  <c r="H35" i="17"/>
  <c r="G9" i="1" s="1"/>
  <c r="G35" i="17"/>
  <c r="F9" i="1" s="1"/>
  <c r="J35" i="17"/>
  <c r="I9" i="1" s="1"/>
  <c r="N35" i="17"/>
  <c r="L43" l="1"/>
  <c r="K10" i="1" s="1"/>
  <c r="M43" i="17"/>
  <c r="N43"/>
  <c r="O43"/>
  <c r="K43"/>
  <c r="J43"/>
  <c r="I43"/>
  <c r="H43"/>
  <c r="G43"/>
  <c r="F10" i="1" s="1"/>
  <c r="F43" i="17"/>
  <c r="E10" i="1" s="1"/>
  <c r="E43" i="17"/>
  <c r="D10" i="1" s="1"/>
  <c r="D43" i="17"/>
  <c r="C10" i="1" s="1"/>
  <c r="J10" l="1"/>
  <c r="I10"/>
  <c r="H10"/>
  <c r="G10"/>
  <c r="D26" i="11" l="1"/>
  <c r="E26"/>
  <c r="F26"/>
  <c r="G26"/>
  <c r="H26"/>
  <c r="I26"/>
  <c r="J26"/>
  <c r="K26"/>
  <c r="L26"/>
  <c r="M26"/>
  <c r="C26"/>
  <c r="J41" i="16"/>
  <c r="H41"/>
  <c r="F41"/>
  <c r="J387" i="17"/>
  <c r="I41" i="16" l="1"/>
  <c r="I43" s="1"/>
  <c r="J43"/>
  <c r="E41"/>
  <c r="E43" s="1"/>
  <c r="F43"/>
  <c r="G41"/>
  <c r="G43" s="1"/>
  <c r="H43"/>
  <c r="E281" i="17"/>
  <c r="F281"/>
  <c r="G281"/>
  <c r="H281"/>
  <c r="I281"/>
  <c r="J281"/>
  <c r="K281"/>
  <c r="L281"/>
  <c r="M281"/>
  <c r="N281"/>
  <c r="O281"/>
  <c r="D281"/>
  <c r="E280"/>
  <c r="F280"/>
  <c r="G280"/>
  <c r="H280"/>
  <c r="H282" s="1"/>
  <c r="I280"/>
  <c r="I282" s="1"/>
  <c r="J280"/>
  <c r="K280"/>
  <c r="L280"/>
  <c r="L282" s="1"/>
  <c r="M280"/>
  <c r="M282" s="1"/>
  <c r="N280"/>
  <c r="N282" s="1"/>
  <c r="O280"/>
  <c r="O282" s="1"/>
  <c r="D280"/>
  <c r="D282" s="1"/>
  <c r="D252" s="1"/>
  <c r="O272"/>
  <c r="N272"/>
  <c r="M272"/>
  <c r="L272"/>
  <c r="K272"/>
  <c r="J272"/>
  <c r="I272"/>
  <c r="H272"/>
  <c r="G272"/>
  <c r="F272"/>
  <c r="E272"/>
  <c r="D272"/>
  <c r="O271"/>
  <c r="N271"/>
  <c r="M271"/>
  <c r="L271"/>
  <c r="K271"/>
  <c r="J271"/>
  <c r="I271"/>
  <c r="H271"/>
  <c r="G271"/>
  <c r="F271"/>
  <c r="E271"/>
  <c r="D271"/>
  <c r="O270"/>
  <c r="O273" s="1"/>
  <c r="O251" s="1"/>
  <c r="N270"/>
  <c r="N273" s="1"/>
  <c r="N251" s="1"/>
  <c r="M270"/>
  <c r="M273" s="1"/>
  <c r="M251" s="1"/>
  <c r="L270"/>
  <c r="L273" s="1"/>
  <c r="L251" s="1"/>
  <c r="K270"/>
  <c r="K273" s="1"/>
  <c r="K251" s="1"/>
  <c r="J270"/>
  <c r="J273" s="1"/>
  <c r="J251" s="1"/>
  <c r="I270"/>
  <c r="I273" s="1"/>
  <c r="I251" s="1"/>
  <c r="H270"/>
  <c r="H273" s="1"/>
  <c r="H251" s="1"/>
  <c r="G270"/>
  <c r="G273" s="1"/>
  <c r="G251" s="1"/>
  <c r="F270"/>
  <c r="F273" s="1"/>
  <c r="F251" s="1"/>
  <c r="E270"/>
  <c r="E273" s="1"/>
  <c r="E251" s="1"/>
  <c r="D270"/>
  <c r="D273" s="1"/>
  <c r="D251" s="1"/>
  <c r="E262"/>
  <c r="F262"/>
  <c r="G262"/>
  <c r="H262"/>
  <c r="I262"/>
  <c r="J262"/>
  <c r="K262"/>
  <c r="L262"/>
  <c r="M262"/>
  <c r="N262"/>
  <c r="O262"/>
  <c r="D262"/>
  <c r="E261"/>
  <c r="F261"/>
  <c r="G261"/>
  <c r="H261"/>
  <c r="I261"/>
  <c r="J261"/>
  <c r="K261"/>
  <c r="L261"/>
  <c r="M261"/>
  <c r="N261"/>
  <c r="O261"/>
  <c r="D261"/>
  <c r="E260"/>
  <c r="F260"/>
  <c r="G260"/>
  <c r="G263" s="1"/>
  <c r="H260"/>
  <c r="H263" s="1"/>
  <c r="I260"/>
  <c r="I263" s="1"/>
  <c r="J260"/>
  <c r="K260"/>
  <c r="K263" s="1"/>
  <c r="L260"/>
  <c r="L263" s="1"/>
  <c r="M260"/>
  <c r="M263" s="1"/>
  <c r="N260"/>
  <c r="N263" s="1"/>
  <c r="O260"/>
  <c r="D260"/>
  <c r="D263" s="1"/>
  <c r="D250" s="1"/>
  <c r="D30" i="26"/>
  <c r="E30"/>
  <c r="F30"/>
  <c r="G30"/>
  <c r="E282" i="17" l="1"/>
  <c r="E252" s="1"/>
  <c r="J263"/>
  <c r="O263"/>
  <c r="O253" s="1"/>
  <c r="J282"/>
  <c r="F263"/>
  <c r="F282"/>
  <c r="E263"/>
  <c r="E250" s="1"/>
  <c r="K282"/>
  <c r="K253" s="1"/>
  <c r="G282"/>
  <c r="G253" s="1"/>
  <c r="I253"/>
  <c r="D253"/>
  <c r="L253"/>
  <c r="H253"/>
  <c r="N253"/>
  <c r="J253"/>
  <c r="M253"/>
  <c r="O236"/>
  <c r="H244"/>
  <c r="H224" s="1"/>
  <c r="D244"/>
  <c r="L244"/>
  <c r="L236"/>
  <c r="E244"/>
  <c r="J236"/>
  <c r="M244"/>
  <c r="M224" s="1"/>
  <c r="J244"/>
  <c r="H236"/>
  <c r="I236"/>
  <c r="F236"/>
  <c r="E34" i="26" s="1"/>
  <c r="F244" i="17"/>
  <c r="E236"/>
  <c r="D34" i="26" s="1"/>
  <c r="K244" i="17"/>
  <c r="N244"/>
  <c r="N224" s="1"/>
  <c r="N236"/>
  <c r="I244"/>
  <c r="O244"/>
  <c r="O224" s="1"/>
  <c r="G244"/>
  <c r="G224" s="1"/>
  <c r="M236"/>
  <c r="K236"/>
  <c r="G236"/>
  <c r="D236"/>
  <c r="C34" i="26" s="1"/>
  <c r="C42" i="2" l="1"/>
  <c r="C46" i="26"/>
  <c r="L224" i="17"/>
  <c r="M37" i="15" s="1"/>
  <c r="K224" i="17"/>
  <c r="K37" i="15" s="1"/>
  <c r="L37" s="1"/>
  <c r="G36"/>
  <c r="H36" s="1"/>
  <c r="I36"/>
  <c r="J36" s="1"/>
  <c r="C35" i="26"/>
  <c r="D224" i="17"/>
  <c r="H225"/>
  <c r="L225"/>
  <c r="D225"/>
  <c r="F225"/>
  <c r="N225"/>
  <c r="G225"/>
  <c r="F32" i="2" s="1"/>
  <c r="K225" i="17"/>
  <c r="E225"/>
  <c r="I225"/>
  <c r="G38" i="15" s="1"/>
  <c r="H38" s="1"/>
  <c r="M225" i="17"/>
  <c r="J225"/>
  <c r="O225"/>
  <c r="F224"/>
  <c r="E35" i="26" s="1"/>
  <c r="J224" i="17"/>
  <c r="I37" i="15" s="1"/>
  <c r="J37" s="1"/>
  <c r="M36"/>
  <c r="K36"/>
  <c r="L36" s="1"/>
  <c r="I224" i="17"/>
  <c r="G37" i="15" s="1"/>
  <c r="H37" s="1"/>
  <c r="E224" i="17"/>
  <c r="D35" i="26" s="1"/>
  <c r="F35"/>
  <c r="C37" i="15"/>
  <c r="D37" s="1"/>
  <c r="G34" i="26"/>
  <c r="E36" i="15"/>
  <c r="F36" s="1"/>
  <c r="G35" i="26"/>
  <c r="E37" i="15"/>
  <c r="F37" s="1"/>
  <c r="F34" i="26"/>
  <c r="C36" i="15"/>
  <c r="D36" s="1"/>
  <c r="E253" i="17"/>
  <c r="D42" i="2" s="1"/>
  <c r="F42"/>
  <c r="F253" i="17"/>
  <c r="G46" i="26" s="1"/>
  <c r="I38" i="15"/>
  <c r="J38" s="1"/>
  <c r="M38"/>
  <c r="K38"/>
  <c r="L38" s="1"/>
  <c r="C36" i="26"/>
  <c r="O61" i="17"/>
  <c r="O65" s="1"/>
  <c r="N61"/>
  <c r="N65" s="1"/>
  <c r="M18" i="11" s="1"/>
  <c r="K61" i="17"/>
  <c r="K65" s="1"/>
  <c r="J18" i="11" s="1"/>
  <c r="L61" i="17"/>
  <c r="L65" s="1"/>
  <c r="K18" i="11" s="1"/>
  <c r="M61" i="17"/>
  <c r="J61"/>
  <c r="J65" s="1"/>
  <c r="I18" i="11" s="1"/>
  <c r="I61" i="17"/>
  <c r="I65" s="1"/>
  <c r="E61"/>
  <c r="F61"/>
  <c r="G61"/>
  <c r="H61"/>
  <c r="H65" s="1"/>
  <c r="D61"/>
  <c r="G18" i="11" l="1"/>
  <c r="G11" i="1"/>
  <c r="H18" i="8"/>
  <c r="L18"/>
  <c r="H18" i="11"/>
  <c r="C21" i="16"/>
  <c r="F36" i="26"/>
  <c r="C38" i="15"/>
  <c r="D38" s="1"/>
  <c r="G18" i="8"/>
  <c r="G36" i="26"/>
  <c r="E38" i="15"/>
  <c r="F38" s="1"/>
  <c r="E46" i="26"/>
  <c r="F54" i="11"/>
  <c r="D36" i="26"/>
  <c r="G65" i="17"/>
  <c r="F65"/>
  <c r="D65"/>
  <c r="E65"/>
  <c r="K11" i="1"/>
  <c r="J11"/>
  <c r="I11"/>
  <c r="H11"/>
  <c r="E36" i="26"/>
  <c r="E42" i="2"/>
  <c r="M65" i="17"/>
  <c r="L18" i="11" s="1"/>
  <c r="H54"/>
  <c r="C18" l="1"/>
  <c r="D18" i="8"/>
  <c r="C11" i="1"/>
  <c r="C16" i="7"/>
  <c r="F18" i="11"/>
  <c r="J18" i="8"/>
  <c r="I18" s="1"/>
  <c r="F11" i="1"/>
  <c r="F16" i="7"/>
  <c r="D18" i="11"/>
  <c r="D16" i="7"/>
  <c r="D11" i="1"/>
  <c r="D13" s="1"/>
  <c r="E18" i="11"/>
  <c r="E11" i="1"/>
  <c r="E16" i="7"/>
  <c r="F18" i="8"/>
  <c r="H13" i="1"/>
  <c r="H14" s="1"/>
  <c r="G63" i="25" s="1"/>
  <c r="J13" i="1"/>
  <c r="J14" s="1"/>
  <c r="G13"/>
  <c r="G14" s="1"/>
  <c r="I13"/>
  <c r="I14" s="1"/>
  <c r="K13"/>
  <c r="K14" s="1"/>
  <c r="C18" i="8"/>
  <c r="E54" i="11"/>
  <c r="E18" i="8"/>
  <c r="K18"/>
  <c r="G54" i="11"/>
  <c r="M63" i="25" l="1"/>
  <c r="M62" i="15"/>
  <c r="E63" i="25"/>
  <c r="I63"/>
  <c r="I62" i="15"/>
  <c r="K63" i="25"/>
  <c r="K62" i="15"/>
  <c r="E13" i="1"/>
  <c r="E14" s="1"/>
  <c r="C13"/>
  <c r="C14" s="1"/>
  <c r="F13"/>
  <c r="F14" s="1"/>
  <c r="D14"/>
  <c r="O386" i="17"/>
  <c r="N386"/>
  <c r="M386"/>
  <c r="L386"/>
  <c r="J55" i="16" s="1"/>
  <c r="I55" s="1"/>
  <c r="K386" i="17"/>
  <c r="H55" i="16" s="1"/>
  <c r="G55" s="1"/>
  <c r="J386" i="17"/>
  <c r="F55" i="16" s="1"/>
  <c r="E55" s="1"/>
  <c r="I386" i="17"/>
  <c r="D55" i="16" s="1"/>
  <c r="C55" s="1"/>
  <c r="H386" i="17"/>
  <c r="G386"/>
  <c r="J55" i="8" s="1"/>
  <c r="I55" s="1"/>
  <c r="F386" i="17"/>
  <c r="H55" i="8" s="1"/>
  <c r="G55" s="1"/>
  <c r="E386" i="17"/>
  <c r="F55" i="8" s="1"/>
  <c r="E55" s="1"/>
  <c r="D386" i="17"/>
  <c r="O383"/>
  <c r="N383"/>
  <c r="M383"/>
  <c r="L383"/>
  <c r="J54" i="16" s="1"/>
  <c r="I54" s="1"/>
  <c r="K383" i="17"/>
  <c r="H54" i="16" s="1"/>
  <c r="G54" s="1"/>
  <c r="J383" i="17"/>
  <c r="E54" i="16" s="1"/>
  <c r="F54" s="1"/>
  <c r="I383" i="17"/>
  <c r="C54" i="16" s="1"/>
  <c r="D54" s="1"/>
  <c r="H383" i="17"/>
  <c r="G383"/>
  <c r="J54" i="8" s="1"/>
  <c r="I54" s="1"/>
  <c r="F383" i="17"/>
  <c r="E383"/>
  <c r="D383"/>
  <c r="D41" i="8"/>
  <c r="F41"/>
  <c r="H41"/>
  <c r="J41"/>
  <c r="L41"/>
  <c r="O380" i="17"/>
  <c r="N380"/>
  <c r="M380"/>
  <c r="L380"/>
  <c r="J53" i="16" s="1"/>
  <c r="K380" i="17"/>
  <c r="J380"/>
  <c r="I380"/>
  <c r="H380"/>
  <c r="G380"/>
  <c r="F380"/>
  <c r="E380"/>
  <c r="D380"/>
  <c r="K41" i="8"/>
  <c r="I41"/>
  <c r="G41"/>
  <c r="C41"/>
  <c r="E41"/>
  <c r="O377" i="17"/>
  <c r="N377"/>
  <c r="M377"/>
  <c r="L377"/>
  <c r="K377"/>
  <c r="J377"/>
  <c r="I377"/>
  <c r="H377"/>
  <c r="G377"/>
  <c r="F32" i="7" s="1"/>
  <c r="F377" i="17"/>
  <c r="E32" i="7" s="1"/>
  <c r="E377" i="17"/>
  <c r="D32" i="7" s="1"/>
  <c r="D377" i="17"/>
  <c r="C32" i="7" s="1"/>
  <c r="O374" i="17"/>
  <c r="N374"/>
  <c r="M374"/>
  <c r="L374"/>
  <c r="K374"/>
  <c r="J374"/>
  <c r="I374"/>
  <c r="H374"/>
  <c r="G374"/>
  <c r="F28" i="7" s="1"/>
  <c r="F374" i="17"/>
  <c r="E28" i="7" s="1"/>
  <c r="E374" i="17"/>
  <c r="D28" i="7" s="1"/>
  <c r="D374" i="17"/>
  <c r="C28" i="7" s="1"/>
  <c r="O371" i="17"/>
  <c r="N371"/>
  <c r="M371"/>
  <c r="L371"/>
  <c r="K371"/>
  <c r="J371"/>
  <c r="I371"/>
  <c r="H371"/>
  <c r="G371"/>
  <c r="F27" i="7" s="1"/>
  <c r="F371" i="17"/>
  <c r="E27" i="7" s="1"/>
  <c r="E371" i="17"/>
  <c r="D27" i="7" s="1"/>
  <c r="D371" i="17"/>
  <c r="C27" i="7" s="1"/>
  <c r="O368" i="17"/>
  <c r="N368"/>
  <c r="M368"/>
  <c r="L368"/>
  <c r="K368"/>
  <c r="J368"/>
  <c r="I368"/>
  <c r="H368"/>
  <c r="G368"/>
  <c r="F26" i="7" s="1"/>
  <c r="F368" i="17"/>
  <c r="E26" i="7" s="1"/>
  <c r="E368" i="17"/>
  <c r="D26" i="7" s="1"/>
  <c r="D368" i="17"/>
  <c r="C26" i="7" s="1"/>
  <c r="C52" i="26"/>
  <c r="O365" i="17"/>
  <c r="N365"/>
  <c r="M365"/>
  <c r="L365"/>
  <c r="K365"/>
  <c r="J365"/>
  <c r="I365"/>
  <c r="H365"/>
  <c r="G365"/>
  <c r="F365"/>
  <c r="G52" i="26" s="1"/>
  <c r="E365" i="17"/>
  <c r="E52" i="26" s="1"/>
  <c r="F52" s="1"/>
  <c r="D365" i="17"/>
  <c r="O362"/>
  <c r="N362"/>
  <c r="M362"/>
  <c r="L362"/>
  <c r="K362"/>
  <c r="J362"/>
  <c r="I362"/>
  <c r="H362"/>
  <c r="G362"/>
  <c r="F362"/>
  <c r="E362"/>
  <c r="D362"/>
  <c r="C62" i="15" l="1"/>
  <c r="C63" i="25"/>
  <c r="I53" i="16"/>
  <c r="J58"/>
  <c r="J57"/>
  <c r="J56"/>
  <c r="D54" i="8"/>
  <c r="C54" s="1"/>
  <c r="L54"/>
  <c r="K54" s="1"/>
  <c r="D55"/>
  <c r="C55" s="1"/>
  <c r="L55"/>
  <c r="K55" s="1"/>
  <c r="F54"/>
  <c r="E54" s="1"/>
  <c r="H54"/>
  <c r="G54" s="1"/>
  <c r="F53" i="16"/>
  <c r="H53"/>
  <c r="L35" i="8"/>
  <c r="D53" i="16"/>
  <c r="H53" i="8"/>
  <c r="F53"/>
  <c r="L53"/>
  <c r="D53"/>
  <c r="J53"/>
  <c r="C33"/>
  <c r="C35" s="1"/>
  <c r="D35"/>
  <c r="F35"/>
  <c r="E35"/>
  <c r="H35"/>
  <c r="G35"/>
  <c r="J35"/>
  <c r="I35"/>
  <c r="G54" i="26"/>
  <c r="F54"/>
  <c r="E54"/>
  <c r="D52"/>
  <c r="J59" i="16" l="1"/>
  <c r="I53" i="8"/>
  <c r="J57"/>
  <c r="J58"/>
  <c r="J56"/>
  <c r="H57"/>
  <c r="H58"/>
  <c r="H56"/>
  <c r="C53"/>
  <c r="D58"/>
  <c r="D56"/>
  <c r="D57"/>
  <c r="L58"/>
  <c r="L56"/>
  <c r="L57"/>
  <c r="E53"/>
  <c r="F57"/>
  <c r="F58"/>
  <c r="F56"/>
  <c r="G53" i="16"/>
  <c r="H58"/>
  <c r="H57"/>
  <c r="H56"/>
  <c r="H59" s="1"/>
  <c r="F58"/>
  <c r="F57"/>
  <c r="F56"/>
  <c r="D58"/>
  <c r="D57"/>
  <c r="D56"/>
  <c r="D59" s="1"/>
  <c r="I58"/>
  <c r="I57"/>
  <c r="I56"/>
  <c r="E53"/>
  <c r="C53"/>
  <c r="K53" i="8"/>
  <c r="K35"/>
  <c r="G53"/>
  <c r="H59" l="1"/>
  <c r="F59"/>
  <c r="I59" i="16"/>
  <c r="J59" i="8"/>
  <c r="F59" i="16"/>
  <c r="L59" i="8"/>
  <c r="D59"/>
  <c r="K56"/>
  <c r="K58"/>
  <c r="K57"/>
  <c r="E57"/>
  <c r="E58"/>
  <c r="E56"/>
  <c r="C58"/>
  <c r="C56"/>
  <c r="C59" s="1"/>
  <c r="C57"/>
  <c r="I58"/>
  <c r="I56"/>
  <c r="I57"/>
  <c r="G56"/>
  <c r="G57"/>
  <c r="G58"/>
  <c r="E58" i="16"/>
  <c r="E57"/>
  <c r="E56"/>
  <c r="C58"/>
  <c r="C57"/>
  <c r="C56"/>
  <c r="G58"/>
  <c r="G57"/>
  <c r="G56"/>
  <c r="G59" s="1"/>
  <c r="O359" i="17"/>
  <c r="N359"/>
  <c r="M359"/>
  <c r="L359"/>
  <c r="K359"/>
  <c r="J359"/>
  <c r="I359"/>
  <c r="N55" i="4" s="1"/>
  <c r="H359" i="17"/>
  <c r="G359"/>
  <c r="F359"/>
  <c r="H55" i="4" s="1"/>
  <c r="E359" i="17"/>
  <c r="F55" i="4" s="1"/>
  <c r="D359" i="17"/>
  <c r="C55" i="4" s="1"/>
  <c r="O356" i="17"/>
  <c r="N356"/>
  <c r="M356"/>
  <c r="L356"/>
  <c r="K356"/>
  <c r="J356"/>
  <c r="I356"/>
  <c r="M55" i="4" s="1"/>
  <c r="G356" i="17"/>
  <c r="G55" i="4"/>
  <c r="E356" i="17"/>
  <c r="E55" i="4" s="1"/>
  <c r="D356" i="17"/>
  <c r="D55" i="4" s="1"/>
  <c r="M39" i="25"/>
  <c r="K38" i="4"/>
  <c r="L38" s="1"/>
  <c r="I38"/>
  <c r="J38" s="1"/>
  <c r="G38"/>
  <c r="H38" s="1"/>
  <c r="E38"/>
  <c r="F38" s="1"/>
  <c r="C38"/>
  <c r="D38" s="1"/>
  <c r="E32" i="2"/>
  <c r="D32"/>
  <c r="C32"/>
  <c r="M37" i="4"/>
  <c r="N37" s="1"/>
  <c r="K37"/>
  <c r="L37" s="1"/>
  <c r="I37"/>
  <c r="J37" s="1"/>
  <c r="G37"/>
  <c r="H37" s="1"/>
  <c r="E37"/>
  <c r="F37" s="1"/>
  <c r="F31" i="2"/>
  <c r="E31"/>
  <c r="D31"/>
  <c r="C31"/>
  <c r="M35" i="4"/>
  <c r="N35" s="1"/>
  <c r="L35"/>
  <c r="J35"/>
  <c r="H35"/>
  <c r="F35"/>
  <c r="D30" i="2"/>
  <c r="M32" i="4"/>
  <c r="N32" s="1"/>
  <c r="K32"/>
  <c r="L32" s="1"/>
  <c r="I32"/>
  <c r="J32" s="1"/>
  <c r="G32"/>
  <c r="H32" s="1"/>
  <c r="E32"/>
  <c r="F32" s="1"/>
  <c r="C32"/>
  <c r="D32" s="1"/>
  <c r="E26" i="2"/>
  <c r="D26"/>
  <c r="D58" i="1"/>
  <c r="E58" s="1"/>
  <c r="D37"/>
  <c r="E37" s="1"/>
  <c r="I17" s="1"/>
  <c r="D18"/>
  <c r="E18"/>
  <c r="F18"/>
  <c r="G18"/>
  <c r="H18"/>
  <c r="I18"/>
  <c r="J18"/>
  <c r="C18"/>
  <c r="D47" i="2"/>
  <c r="E47"/>
  <c r="F47"/>
  <c r="C47"/>
  <c r="O350" i="17"/>
  <c r="O209" s="1"/>
  <c r="O210" s="1"/>
  <c r="N350"/>
  <c r="N209" s="1"/>
  <c r="N210" s="1"/>
  <c r="M350"/>
  <c r="M209" s="1"/>
  <c r="M210" s="1"/>
  <c r="L350"/>
  <c r="L209" s="1"/>
  <c r="L210" s="1"/>
  <c r="K350"/>
  <c r="K209" s="1"/>
  <c r="K210" s="1"/>
  <c r="J350"/>
  <c r="J209" s="1"/>
  <c r="J210" s="1"/>
  <c r="I350"/>
  <c r="I209" s="1"/>
  <c r="I210" s="1"/>
  <c r="H350"/>
  <c r="H209" s="1"/>
  <c r="H210" s="1"/>
  <c r="G350"/>
  <c r="F350"/>
  <c r="F209" s="1"/>
  <c r="F210" s="1"/>
  <c r="C49" i="15" s="1"/>
  <c r="C51" s="1"/>
  <c r="E350" i="17"/>
  <c r="E209" s="1"/>
  <c r="D350"/>
  <c r="D209" s="1"/>
  <c r="D210" s="1"/>
  <c r="C49" i="4" s="1"/>
  <c r="D49" s="1"/>
  <c r="O202" i="17"/>
  <c r="O203" s="1"/>
  <c r="N202"/>
  <c r="N203" s="1"/>
  <c r="M202"/>
  <c r="M203" s="1"/>
  <c r="M23" i="15"/>
  <c r="K23"/>
  <c r="L23" s="1"/>
  <c r="I23"/>
  <c r="J23" s="1"/>
  <c r="G23"/>
  <c r="H23" s="1"/>
  <c r="D46" i="2"/>
  <c r="E46"/>
  <c r="C46"/>
  <c r="E344" i="17"/>
  <c r="E183" s="1"/>
  <c r="F344"/>
  <c r="F183" s="1"/>
  <c r="G344"/>
  <c r="G183" s="1"/>
  <c r="H344"/>
  <c r="H183" s="1"/>
  <c r="I344"/>
  <c r="I183" s="1"/>
  <c r="J344"/>
  <c r="J183" s="1"/>
  <c r="K344"/>
  <c r="K183" s="1"/>
  <c r="L344"/>
  <c r="L183" s="1"/>
  <c r="M344"/>
  <c r="M183" s="1"/>
  <c r="N344"/>
  <c r="N183" s="1"/>
  <c r="O344"/>
  <c r="O183" s="1"/>
  <c r="D344"/>
  <c r="D183" s="1"/>
  <c r="E341"/>
  <c r="E182" s="1"/>
  <c r="F341"/>
  <c r="F182" s="1"/>
  <c r="G341"/>
  <c r="G182" s="1"/>
  <c r="H341"/>
  <c r="H182" s="1"/>
  <c r="I341"/>
  <c r="I182" s="1"/>
  <c r="J341"/>
  <c r="J182" s="1"/>
  <c r="K341"/>
  <c r="K182" s="1"/>
  <c r="L341"/>
  <c r="L182" s="1"/>
  <c r="M341"/>
  <c r="M182" s="1"/>
  <c r="N341"/>
  <c r="N182" s="1"/>
  <c r="O341"/>
  <c r="O182" s="1"/>
  <c r="D341"/>
  <c r="D182" s="1"/>
  <c r="J22" i="1" l="1"/>
  <c r="J21" s="1"/>
  <c r="K69" i="15" s="1"/>
  <c r="J20" i="1"/>
  <c r="H22"/>
  <c r="H20"/>
  <c r="D20"/>
  <c r="D22" s="1"/>
  <c r="C20"/>
  <c r="C22" s="1"/>
  <c r="I20"/>
  <c r="I22" s="1"/>
  <c r="I21" s="1"/>
  <c r="I69" i="15" s="1"/>
  <c r="E56" i="25"/>
  <c r="F56" s="1"/>
  <c r="G56" s="1"/>
  <c r="H56" s="1"/>
  <c r="I56" s="1"/>
  <c r="J56" s="1"/>
  <c r="K56" s="1"/>
  <c r="L56" s="1"/>
  <c r="E55" i="15"/>
  <c r="K55" i="4"/>
  <c r="G59" i="8"/>
  <c r="K59"/>
  <c r="C59" i="16"/>
  <c r="E59"/>
  <c r="I59" i="8"/>
  <c r="E59"/>
  <c r="G49" i="4"/>
  <c r="H49" s="1"/>
  <c r="G49" i="15"/>
  <c r="H49" s="1"/>
  <c r="K55"/>
  <c r="I49" i="4"/>
  <c r="J49" s="1"/>
  <c r="I49" i="15"/>
  <c r="J49" s="1"/>
  <c r="F57" i="4"/>
  <c r="M55" i="15"/>
  <c r="H202" i="17"/>
  <c r="H203" s="1"/>
  <c r="G209"/>
  <c r="K49" i="4"/>
  <c r="L49" s="1"/>
  <c r="K49" i="15"/>
  <c r="L49" s="1"/>
  <c r="G55"/>
  <c r="H58" i="25"/>
  <c r="E49" i="4"/>
  <c r="F49" s="1"/>
  <c r="E49" i="15"/>
  <c r="F49" s="1"/>
  <c r="M49" i="4"/>
  <c r="N49" s="1"/>
  <c r="M49" i="15"/>
  <c r="I55"/>
  <c r="E202" i="17"/>
  <c r="F202"/>
  <c r="F203" s="1"/>
  <c r="G202"/>
  <c r="G203" s="1"/>
  <c r="D202"/>
  <c r="D203" s="1"/>
  <c r="K202"/>
  <c r="K203" s="1"/>
  <c r="L16" i="11" s="1"/>
  <c r="H19" i="16"/>
  <c r="G19" s="1"/>
  <c r="J202" i="17"/>
  <c r="J203" s="1"/>
  <c r="K16" i="11" s="1"/>
  <c r="F19" i="16"/>
  <c r="E19" s="1"/>
  <c r="L202" i="17"/>
  <c r="L203" s="1"/>
  <c r="M16" i="11" s="1"/>
  <c r="J19" i="16"/>
  <c r="I19" s="1"/>
  <c r="H16" i="11"/>
  <c r="I202" i="17"/>
  <c r="I203" s="1"/>
  <c r="D19" i="16"/>
  <c r="C19" s="1"/>
  <c r="C30" i="2"/>
  <c r="E30"/>
  <c r="K57" i="4"/>
  <c r="N57"/>
  <c r="D34" i="1"/>
  <c r="E34" s="1"/>
  <c r="K18"/>
  <c r="D61"/>
  <c r="E61" s="1"/>
  <c r="D57"/>
  <c r="E57" s="1"/>
  <c r="D60"/>
  <c r="E60" s="1"/>
  <c r="D56"/>
  <c r="E56" s="1"/>
  <c r="D59"/>
  <c r="E59" s="1"/>
  <c r="D55"/>
  <c r="E55" s="1"/>
  <c r="E20" s="1"/>
  <c r="E22" s="1"/>
  <c r="G68" i="4" s="1"/>
  <c r="N39" i="25"/>
  <c r="N58"/>
  <c r="H57" i="4"/>
  <c r="E37" i="25"/>
  <c r="M38" i="4"/>
  <c r="N38" s="1"/>
  <c r="G33" i="25"/>
  <c r="G57" i="4"/>
  <c r="I33" i="25"/>
  <c r="M36"/>
  <c r="K37"/>
  <c r="C38"/>
  <c r="G38"/>
  <c r="K38"/>
  <c r="C39"/>
  <c r="G39"/>
  <c r="K39"/>
  <c r="G50"/>
  <c r="K50"/>
  <c r="G58"/>
  <c r="M57" i="4"/>
  <c r="E57"/>
  <c r="C33" i="25"/>
  <c r="K33"/>
  <c r="G37"/>
  <c r="D58"/>
  <c r="L58"/>
  <c r="E33"/>
  <c r="M33"/>
  <c r="C37"/>
  <c r="E38"/>
  <c r="I38"/>
  <c r="M38"/>
  <c r="E39"/>
  <c r="I39"/>
  <c r="E50"/>
  <c r="I50"/>
  <c r="M50"/>
  <c r="E58"/>
  <c r="I58"/>
  <c r="M58"/>
  <c r="D35" i="4"/>
  <c r="C37"/>
  <c r="D37" s="1"/>
  <c r="F30" i="2"/>
  <c r="F26"/>
  <c r="C48" i="26"/>
  <c r="G210" i="17"/>
  <c r="D49" i="15" s="1"/>
  <c r="D51" s="1"/>
  <c r="G48" i="26"/>
  <c r="E203" i="17"/>
  <c r="E210"/>
  <c r="E48" i="26" s="1"/>
  <c r="F46" i="2"/>
  <c r="D36" i="1"/>
  <c r="D35"/>
  <c r="E35" s="1"/>
  <c r="D40"/>
  <c r="E40" s="1"/>
  <c r="D39"/>
  <c r="E39" s="1"/>
  <c r="K17" s="1"/>
  <c r="D42"/>
  <c r="E42" s="1"/>
  <c r="D38"/>
  <c r="E38" s="1"/>
  <c r="J17" s="1"/>
  <c r="D41"/>
  <c r="E41" s="1"/>
  <c r="E68" i="4" l="1"/>
  <c r="D21" i="1"/>
  <c r="K20"/>
  <c r="K22" s="1"/>
  <c r="K21" s="1"/>
  <c r="M69" i="15" s="1"/>
  <c r="F23" i="4"/>
  <c r="F14" i="7"/>
  <c r="F18" i="2"/>
  <c r="I16" i="11"/>
  <c r="G23" i="4"/>
  <c r="I55"/>
  <c r="L55"/>
  <c r="L57" s="1"/>
  <c r="D23"/>
  <c r="D14" i="7"/>
  <c r="D18" i="2"/>
  <c r="J16" i="11"/>
  <c r="H23" i="4"/>
  <c r="C23"/>
  <c r="C18" i="2"/>
  <c r="C14" i="7"/>
  <c r="E23" i="4"/>
  <c r="E18" i="2"/>
  <c r="E14" i="7"/>
  <c r="C21" i="1"/>
  <c r="C68" i="4"/>
  <c r="M68"/>
  <c r="H21" i="1"/>
  <c r="E21"/>
  <c r="L16" i="8"/>
  <c r="K16" s="1"/>
  <c r="G17" i="1"/>
  <c r="G20" s="1"/>
  <c r="G22" s="1"/>
  <c r="F20"/>
  <c r="F22" s="1"/>
  <c r="I68" i="4" s="1"/>
  <c r="C52" i="25"/>
  <c r="J16" i="8"/>
  <c r="I16" s="1"/>
  <c r="E16" i="11"/>
  <c r="F16" s="1"/>
  <c r="F16" i="8"/>
  <c r="E16" s="1"/>
  <c r="G16" i="11"/>
  <c r="H16" i="8"/>
  <c r="G16" s="1"/>
  <c r="C16" i="11"/>
  <c r="D16" s="1"/>
  <c r="D16" i="8"/>
  <c r="C16" s="1"/>
  <c r="E36" i="1"/>
  <c r="H17" s="1"/>
  <c r="M37" i="25"/>
  <c r="I37"/>
  <c r="J58"/>
  <c r="N36"/>
  <c r="D37"/>
  <c r="L36"/>
  <c r="L39"/>
  <c r="J39"/>
  <c r="F38"/>
  <c r="F36"/>
  <c r="N33"/>
  <c r="J36"/>
  <c r="L33"/>
  <c r="C58"/>
  <c r="H39"/>
  <c r="D38"/>
  <c r="N38"/>
  <c r="J38"/>
  <c r="F39"/>
  <c r="F33"/>
  <c r="D36"/>
  <c r="D33"/>
  <c r="D39"/>
  <c r="L37"/>
  <c r="F37"/>
  <c r="F58"/>
  <c r="L38"/>
  <c r="H37"/>
  <c r="K58"/>
  <c r="H38"/>
  <c r="H36"/>
  <c r="J33"/>
  <c r="H33"/>
  <c r="F46" i="26"/>
  <c r="F48" s="1"/>
  <c r="D46"/>
  <c r="D48" s="1"/>
  <c r="I52" i="25"/>
  <c r="J50"/>
  <c r="E52"/>
  <c r="F50"/>
  <c r="K52"/>
  <c r="L50"/>
  <c r="M52"/>
  <c r="N50"/>
  <c r="N52" s="1"/>
  <c r="G52"/>
  <c r="H50"/>
  <c r="E185" i="17"/>
  <c r="F185"/>
  <c r="G185"/>
  <c r="H185"/>
  <c r="I185"/>
  <c r="J185"/>
  <c r="K185"/>
  <c r="L185"/>
  <c r="M185"/>
  <c r="N185"/>
  <c r="O185"/>
  <c r="D185"/>
  <c r="O171"/>
  <c r="N171"/>
  <c r="M171"/>
  <c r="L171"/>
  <c r="K171"/>
  <c r="J171"/>
  <c r="I171"/>
  <c r="H171"/>
  <c r="G171"/>
  <c r="F171"/>
  <c r="E171"/>
  <c r="D171"/>
  <c r="O155"/>
  <c r="N155"/>
  <c r="M155"/>
  <c r="L155"/>
  <c r="K155"/>
  <c r="J155"/>
  <c r="I155"/>
  <c r="H155"/>
  <c r="G155"/>
  <c r="F155"/>
  <c r="E155"/>
  <c r="D155"/>
  <c r="E140"/>
  <c r="F140"/>
  <c r="G140"/>
  <c r="H140"/>
  <c r="I140"/>
  <c r="J140"/>
  <c r="K140"/>
  <c r="L140"/>
  <c r="M140"/>
  <c r="N140"/>
  <c r="O140"/>
  <c r="D125"/>
  <c r="E125"/>
  <c r="F125"/>
  <c r="G125"/>
  <c r="H125"/>
  <c r="I125"/>
  <c r="J125"/>
  <c r="K125"/>
  <c r="L125"/>
  <c r="M125"/>
  <c r="N125"/>
  <c r="O125"/>
  <c r="D140"/>
  <c r="M110"/>
  <c r="N110"/>
  <c r="O110"/>
  <c r="J16" i="21"/>
  <c r="E110" i="17"/>
  <c r="F110"/>
  <c r="G110"/>
  <c r="H110"/>
  <c r="I110"/>
  <c r="J110"/>
  <c r="K110"/>
  <c r="L110"/>
  <c r="D110"/>
  <c r="K68" i="4" l="1"/>
  <c r="G21" i="1"/>
  <c r="E70" i="25" s="1"/>
  <c r="J55" i="4"/>
  <c r="J57" s="1"/>
  <c r="I57"/>
  <c r="F21" i="1"/>
  <c r="D52" i="25"/>
  <c r="C15" i="21"/>
  <c r="C16" s="1"/>
  <c r="C19" s="1"/>
  <c r="G55"/>
  <c r="G56" s="1"/>
  <c r="G59" s="1"/>
  <c r="C7"/>
  <c r="C8" s="1"/>
  <c r="C11" s="1"/>
  <c r="G31"/>
  <c r="G32" s="1"/>
  <c r="G35" s="1"/>
  <c r="N37" i="25"/>
  <c r="J37"/>
  <c r="G7" i="21"/>
  <c r="G8" s="1"/>
  <c r="G11" s="1"/>
  <c r="G47"/>
  <c r="G48" s="1"/>
  <c r="G51" s="1"/>
  <c r="G39"/>
  <c r="G40" s="1"/>
  <c r="G43" s="1"/>
  <c r="G23"/>
  <c r="G24" s="1"/>
  <c r="G27" s="1"/>
  <c r="L52" i="25"/>
  <c r="F52"/>
  <c r="H52"/>
  <c r="J52"/>
  <c r="G114" i="17"/>
  <c r="I15" i="4" s="1"/>
  <c r="J15" s="1"/>
  <c r="N114" i="17"/>
  <c r="K114"/>
  <c r="L114"/>
  <c r="H114"/>
  <c r="K15" i="4" s="1"/>
  <c r="L15" s="1"/>
  <c r="O114" i="17"/>
  <c r="J114"/>
  <c r="F114"/>
  <c r="G15" i="4" s="1"/>
  <c r="H16" s="1"/>
  <c r="M114" i="17"/>
  <c r="D114"/>
  <c r="C15" i="4" s="1"/>
  <c r="D15" s="1"/>
  <c r="I114" i="17"/>
  <c r="E114"/>
  <c r="E15" i="4" s="1"/>
  <c r="F15" s="1"/>
  <c r="C47" i="21"/>
  <c r="C48" s="1"/>
  <c r="C51" s="1"/>
  <c r="C39"/>
  <c r="C40" s="1"/>
  <c r="C43" s="1"/>
  <c r="C31"/>
  <c r="C32" s="1"/>
  <c r="C35" s="1"/>
  <c r="C23"/>
  <c r="C24" s="1"/>
  <c r="C27" s="1"/>
  <c r="G15"/>
  <c r="G16" s="1"/>
  <c r="G19" s="1"/>
  <c r="C69" i="15" l="1"/>
  <c r="C70" i="25"/>
  <c r="G15" i="15"/>
  <c r="H15" s="1"/>
  <c r="M15" i="4"/>
  <c r="N15" s="1"/>
  <c r="I15" i="25"/>
  <c r="J15" s="1"/>
  <c r="I15" i="15"/>
  <c r="J15" s="1"/>
  <c r="K15" i="25"/>
  <c r="L15" s="1"/>
  <c r="K15" i="15"/>
  <c r="L15" s="1"/>
  <c r="G13" i="26"/>
  <c r="E15" i="15"/>
  <c r="F15" s="1"/>
  <c r="C15"/>
  <c r="D15" s="1"/>
  <c r="M15" i="25"/>
  <c r="N15" s="1"/>
  <c r="M15" i="15"/>
  <c r="D10" i="2"/>
  <c r="E10"/>
  <c r="E13" i="26"/>
  <c r="F13" s="1"/>
  <c r="C10" i="2"/>
  <c r="C13" i="26"/>
  <c r="D13" s="1"/>
  <c r="F9" i="10"/>
  <c r="D11" i="2"/>
  <c r="D23" i="25"/>
  <c r="H23"/>
  <c r="L23"/>
  <c r="E23"/>
  <c r="I23"/>
  <c r="M23"/>
  <c r="F23"/>
  <c r="J23"/>
  <c r="N23"/>
  <c r="G23"/>
  <c r="K23"/>
  <c r="C23"/>
  <c r="H144" i="17"/>
  <c r="L144"/>
  <c r="M19" i="15" s="1"/>
  <c r="D144" i="17"/>
  <c r="G144"/>
  <c r="F12" i="10" s="1"/>
  <c r="I144" i="17"/>
  <c r="M144"/>
  <c r="O144"/>
  <c r="F144"/>
  <c r="E12" i="10" s="1"/>
  <c r="J144" i="17"/>
  <c r="I19" i="15" s="1"/>
  <c r="J19" s="1"/>
  <c r="K144" i="17"/>
  <c r="K19" i="15" s="1"/>
  <c r="L19" s="1"/>
  <c r="E25" i="2"/>
  <c r="D25"/>
  <c r="C25"/>
  <c r="C28"/>
  <c r="G25" i="16"/>
  <c r="J25" s="1"/>
  <c r="I25" s="1"/>
  <c r="E33" i="2"/>
  <c r="D33"/>
  <c r="D28"/>
  <c r="E25" i="16"/>
  <c r="C33" i="2"/>
  <c r="E28"/>
  <c r="C25" i="16"/>
  <c r="J13" i="17"/>
  <c r="I44" i="15" s="1"/>
  <c r="J44" s="1"/>
  <c r="H13" i="17"/>
  <c r="D13"/>
  <c r="C11" i="2"/>
  <c r="C9" i="10"/>
  <c r="E11" i="2"/>
  <c r="E9" i="10"/>
  <c r="K16" i="25"/>
  <c r="H12" i="16"/>
  <c r="G12" s="1"/>
  <c r="I16" i="25"/>
  <c r="J16" s="1"/>
  <c r="F12" i="16"/>
  <c r="E12" s="1"/>
  <c r="M16" i="25"/>
  <c r="J12" i="16"/>
  <c r="I12" s="1"/>
  <c r="E13" i="10"/>
  <c r="J160" i="17"/>
  <c r="I20" i="15" s="1"/>
  <c r="J20" s="1"/>
  <c r="N160" i="17"/>
  <c r="F176"/>
  <c r="J176"/>
  <c r="I21" i="15" s="1"/>
  <c r="J21" s="1"/>
  <c r="N176" i="17"/>
  <c r="K160"/>
  <c r="K20" i="15" s="1"/>
  <c r="L20" s="1"/>
  <c r="G176" i="17"/>
  <c r="F12" i="7" s="1"/>
  <c r="K176" i="17"/>
  <c r="K21" i="15" s="1"/>
  <c r="L21" s="1"/>
  <c r="O176" i="17"/>
  <c r="H160"/>
  <c r="L160"/>
  <c r="M20" i="15" s="1"/>
  <c r="H176" i="17"/>
  <c r="K21" i="4" s="1"/>
  <c r="L21" s="1"/>
  <c r="L176" i="17"/>
  <c r="M21" i="15" s="1"/>
  <c r="D176" i="17"/>
  <c r="I160"/>
  <c r="M160"/>
  <c r="E176"/>
  <c r="I176"/>
  <c r="M176"/>
  <c r="O160"/>
  <c r="E16" i="25"/>
  <c r="F11" i="2"/>
  <c r="C16" i="25"/>
  <c r="E15"/>
  <c r="F10" i="2"/>
  <c r="C15" i="25"/>
  <c r="G16"/>
  <c r="G15"/>
  <c r="N144" i="17"/>
  <c r="O196"/>
  <c r="K196"/>
  <c r="M196"/>
  <c r="L196"/>
  <c r="D196"/>
  <c r="C51" i="26" s="1"/>
  <c r="I13" i="17"/>
  <c r="I196"/>
  <c r="N196"/>
  <c r="H196"/>
  <c r="J196"/>
  <c r="F196"/>
  <c r="E196"/>
  <c r="E44" i="15" l="1"/>
  <c r="F44" s="1"/>
  <c r="K44" i="4"/>
  <c r="L44" s="1"/>
  <c r="C44"/>
  <c r="C41" i="26"/>
  <c r="C38" i="2"/>
  <c r="C14" i="10"/>
  <c r="C12" i="7"/>
  <c r="D14" i="10"/>
  <c r="D12" i="7"/>
  <c r="E14" i="10"/>
  <c r="E12" i="7"/>
  <c r="I21" i="4"/>
  <c r="J21" s="1"/>
  <c r="F14" i="10"/>
  <c r="D12" i="8"/>
  <c r="C12" s="1"/>
  <c r="C12" i="10"/>
  <c r="D29" i="16"/>
  <c r="C29" s="1"/>
  <c r="G44" i="15"/>
  <c r="H44" s="1"/>
  <c r="L27" i="8"/>
  <c r="K27" s="1"/>
  <c r="D27"/>
  <c r="C27" s="1"/>
  <c r="D41" i="26"/>
  <c r="F14" i="8"/>
  <c r="E14" s="1"/>
  <c r="E21" i="4"/>
  <c r="F21" s="1"/>
  <c r="G19" i="15"/>
  <c r="H19" s="1"/>
  <c r="M19" i="4"/>
  <c r="N19" s="1"/>
  <c r="E19" i="15"/>
  <c r="F19" s="1"/>
  <c r="K19" i="4"/>
  <c r="L19" s="1"/>
  <c r="G19"/>
  <c r="H19" s="1"/>
  <c r="G20" i="15"/>
  <c r="H20" s="1"/>
  <c r="M20" i="4"/>
  <c r="N20" s="1"/>
  <c r="H14" i="8"/>
  <c r="G14" s="1"/>
  <c r="J14" s="1"/>
  <c r="I14" s="1"/>
  <c r="L14" s="1"/>
  <c r="K14" s="1"/>
  <c r="G21" i="4"/>
  <c r="H21" s="1"/>
  <c r="C19"/>
  <c r="D19" s="1"/>
  <c r="I19"/>
  <c r="J19" s="1"/>
  <c r="G21" i="15"/>
  <c r="H21" s="1"/>
  <c r="M21" i="4"/>
  <c r="N21" s="1"/>
  <c r="D14" i="8"/>
  <c r="C14" s="1"/>
  <c r="C21" i="4"/>
  <c r="D21" s="1"/>
  <c r="E20" i="15"/>
  <c r="F20" s="1"/>
  <c r="K20" i="4"/>
  <c r="L20" s="1"/>
  <c r="G19" i="26"/>
  <c r="E21" i="15"/>
  <c r="F21" s="1"/>
  <c r="J12" i="8"/>
  <c r="C19" i="15"/>
  <c r="D19" s="1"/>
  <c r="F19" i="26"/>
  <c r="C21" i="15"/>
  <c r="D21" s="1"/>
  <c r="E24" i="10"/>
  <c r="C24"/>
  <c r="D24"/>
  <c r="E160" i="17"/>
  <c r="D13" i="10"/>
  <c r="D160" i="17"/>
  <c r="C13" i="10"/>
  <c r="G160" i="17"/>
  <c r="I20" i="4" s="1"/>
  <c r="J20" s="1"/>
  <c r="F13" i="10"/>
  <c r="F24"/>
  <c r="I45" i="25"/>
  <c r="F29" i="16"/>
  <c r="E29" s="1"/>
  <c r="G17" i="26"/>
  <c r="L12" i="8"/>
  <c r="K12" s="1"/>
  <c r="G18" i="26"/>
  <c r="L13" i="8"/>
  <c r="K13" s="1"/>
  <c r="G45" i="25"/>
  <c r="G46" i="15" s="1"/>
  <c r="M44" i="4"/>
  <c r="N44" s="1"/>
  <c r="D19" i="26"/>
  <c r="C19"/>
  <c r="E11" i="7"/>
  <c r="E17" i="26"/>
  <c r="D44" i="4"/>
  <c r="F17" i="26"/>
  <c r="F11" i="7"/>
  <c r="E19" i="26"/>
  <c r="C17"/>
  <c r="C11" i="7"/>
  <c r="D9" i="10"/>
  <c r="F160" i="17"/>
  <c r="K227"/>
  <c r="D12" i="16"/>
  <c r="C12" s="1"/>
  <c r="L13" i="17"/>
  <c r="O13"/>
  <c r="M13"/>
  <c r="K13"/>
  <c r="H29" i="16" s="1"/>
  <c r="F13" i="17"/>
  <c r="E13"/>
  <c r="M227"/>
  <c r="N13"/>
  <c r="G13"/>
  <c r="G31" i="4"/>
  <c r="H31" s="1"/>
  <c r="G32" i="25"/>
  <c r="K32"/>
  <c r="K31" i="4"/>
  <c r="L31" s="1"/>
  <c r="M32" i="25"/>
  <c r="M31" i="4"/>
  <c r="N31" s="1"/>
  <c r="C32" i="25"/>
  <c r="F25" i="2"/>
  <c r="C31" i="4"/>
  <c r="D31" s="1"/>
  <c r="E31"/>
  <c r="F31" s="1"/>
  <c r="E32" i="25"/>
  <c r="I31" i="4"/>
  <c r="J31" s="1"/>
  <c r="I32" i="25"/>
  <c r="E227" i="17"/>
  <c r="I34" i="4"/>
  <c r="J34" s="1"/>
  <c r="I35" i="25"/>
  <c r="M33" i="4"/>
  <c r="N33" s="1"/>
  <c r="L227" i="17"/>
  <c r="H227"/>
  <c r="M34" i="4"/>
  <c r="N34" s="1"/>
  <c r="M35" i="25"/>
  <c r="E39" i="4"/>
  <c r="F39" s="1"/>
  <c r="E40" i="25"/>
  <c r="I227" i="17"/>
  <c r="C34" i="4"/>
  <c r="D34" s="1"/>
  <c r="C35" i="25"/>
  <c r="F28" i="2"/>
  <c r="F227" i="17"/>
  <c r="G35" i="25"/>
  <c r="G34" i="4"/>
  <c r="H34" s="1"/>
  <c r="K35" i="25"/>
  <c r="K34" i="4"/>
  <c r="L34" s="1"/>
  <c r="G227" i="17"/>
  <c r="E34" i="4"/>
  <c r="F34" s="1"/>
  <c r="E35" i="25"/>
  <c r="G39" i="4"/>
  <c r="H39" s="1"/>
  <c r="G40" i="25"/>
  <c r="C39" i="4"/>
  <c r="D39" s="1"/>
  <c r="C40" i="25"/>
  <c r="F33" i="2"/>
  <c r="J227" i="17"/>
  <c r="D227"/>
  <c r="K39" i="4"/>
  <c r="L39" s="1"/>
  <c r="K40" i="25"/>
  <c r="M39" i="4"/>
  <c r="N39" s="1"/>
  <c r="M40" i="25"/>
  <c r="I39" i="4"/>
  <c r="J39" s="1"/>
  <c r="I40" i="25"/>
  <c r="N227" i="17"/>
  <c r="O227"/>
  <c r="L16" i="25"/>
  <c r="H21" i="16"/>
  <c r="I21"/>
  <c r="G21"/>
  <c r="D20" i="11"/>
  <c r="E21" i="16"/>
  <c r="F21"/>
  <c r="F20" i="11"/>
  <c r="J21" i="16"/>
  <c r="D16" i="2"/>
  <c r="E16"/>
  <c r="C16"/>
  <c r="N16" i="25"/>
  <c r="K19"/>
  <c r="H15" i="16"/>
  <c r="G15" s="1"/>
  <c r="I19" i="25"/>
  <c r="J19" s="1"/>
  <c r="F15" i="16"/>
  <c r="E15" s="1"/>
  <c r="M19" i="25"/>
  <c r="J15" i="16"/>
  <c r="I15" s="1"/>
  <c r="M20" i="25"/>
  <c r="N20" s="1"/>
  <c r="J16" i="16"/>
  <c r="I16" s="1"/>
  <c r="I20" i="25"/>
  <c r="J20" s="1"/>
  <c r="F16" i="16"/>
  <c r="E16" s="1"/>
  <c r="M21" i="25"/>
  <c r="J17" i="16"/>
  <c r="I17" s="1"/>
  <c r="I21" i="25"/>
  <c r="F17" i="16"/>
  <c r="E17" s="1"/>
  <c r="D15"/>
  <c r="C15" s="1"/>
  <c r="D16"/>
  <c r="C16" s="1"/>
  <c r="K20" i="25"/>
  <c r="H16" i="16"/>
  <c r="G16" s="1"/>
  <c r="D14" i="2"/>
  <c r="E14"/>
  <c r="F14"/>
  <c r="C14"/>
  <c r="D17" i="16"/>
  <c r="C17" s="1"/>
  <c r="K21" i="25"/>
  <c r="H17" i="16"/>
  <c r="G17" s="1"/>
  <c r="F16" i="2"/>
  <c r="C21" i="25"/>
  <c r="E20"/>
  <c r="E21"/>
  <c r="G20"/>
  <c r="G21"/>
  <c r="F16"/>
  <c r="D16"/>
  <c r="H16"/>
  <c r="G19"/>
  <c r="C19"/>
  <c r="F15"/>
  <c r="H15"/>
  <c r="D15"/>
  <c r="E19"/>
  <c r="E144" i="17"/>
  <c r="D12" i="10" s="1"/>
  <c r="D54" i="11"/>
  <c r="I54"/>
  <c r="J54"/>
  <c r="K54"/>
  <c r="L54"/>
  <c r="M54"/>
  <c r="I20"/>
  <c r="K20"/>
  <c r="L20"/>
  <c r="M20"/>
  <c r="C54"/>
  <c r="C28" i="10"/>
  <c r="D34" i="7"/>
  <c r="E34"/>
  <c r="F34"/>
  <c r="D30"/>
  <c r="E30"/>
  <c r="F30"/>
  <c r="C34"/>
  <c r="C30"/>
  <c r="M57" i="15"/>
  <c r="L57"/>
  <c r="K57"/>
  <c r="J57"/>
  <c r="I57"/>
  <c r="H57"/>
  <c r="G57"/>
  <c r="F57"/>
  <c r="E57"/>
  <c r="D57"/>
  <c r="C57"/>
  <c r="M51"/>
  <c r="L51"/>
  <c r="K51"/>
  <c r="J51"/>
  <c r="I51"/>
  <c r="H51"/>
  <c r="G51"/>
  <c r="F51"/>
  <c r="E51"/>
  <c r="E44" i="4" l="1"/>
  <c r="F44" s="1"/>
  <c r="E41" i="26"/>
  <c r="F41" s="1"/>
  <c r="F43" s="1"/>
  <c r="D38" i="2"/>
  <c r="F27" i="8"/>
  <c r="E27" s="1"/>
  <c r="C44" i="15"/>
  <c r="D44" s="1"/>
  <c r="I44" i="4"/>
  <c r="J44" s="1"/>
  <c r="F38" i="2"/>
  <c r="G44" i="4"/>
  <c r="H44" s="1"/>
  <c r="G41" i="26"/>
  <c r="E38" i="2"/>
  <c r="M44" i="15"/>
  <c r="J29" i="16"/>
  <c r="G29"/>
  <c r="K44" i="15"/>
  <c r="L44" s="1"/>
  <c r="J27" i="8"/>
  <c r="H27"/>
  <c r="G27" s="1"/>
  <c r="D18" i="26"/>
  <c r="E20" i="4"/>
  <c r="F20" s="1"/>
  <c r="F12" i="8"/>
  <c r="E12" s="1"/>
  <c r="E19" i="4"/>
  <c r="F19" s="1"/>
  <c r="E15" i="2"/>
  <c r="G20" i="4"/>
  <c r="H20" s="1"/>
  <c r="D13" i="8"/>
  <c r="C13" s="1"/>
  <c r="C20" i="4"/>
  <c r="D20" s="1"/>
  <c r="D51" i="26"/>
  <c r="D54" s="1"/>
  <c r="C54"/>
  <c r="J13" i="8"/>
  <c r="I13" s="1"/>
  <c r="C20" i="15"/>
  <c r="D20" s="1"/>
  <c r="C15" i="2"/>
  <c r="C18" i="26"/>
  <c r="C20" i="25"/>
  <c r="D20" s="1"/>
  <c r="I27" i="4"/>
  <c r="F18" i="26"/>
  <c r="F15" i="2"/>
  <c r="D15"/>
  <c r="F13" i="8"/>
  <c r="E13" s="1"/>
  <c r="F20" i="10"/>
  <c r="E18" i="26"/>
  <c r="H13" i="8"/>
  <c r="M45" i="25"/>
  <c r="M46" i="15" s="1"/>
  <c r="I29" i="16"/>
  <c r="I31" s="1"/>
  <c r="D20" i="10"/>
  <c r="D11" i="7"/>
  <c r="D17" i="26"/>
  <c r="D28" i="10"/>
  <c r="F46" i="4"/>
  <c r="J46"/>
  <c r="F28" i="10"/>
  <c r="H46" i="4"/>
  <c r="E28" i="10"/>
  <c r="K45" i="25"/>
  <c r="C62" i="4"/>
  <c r="K62"/>
  <c r="I62"/>
  <c r="G43" i="26"/>
  <c r="C59"/>
  <c r="C53" i="2"/>
  <c r="F23" i="7"/>
  <c r="H32" i="25"/>
  <c r="J32"/>
  <c r="N32"/>
  <c r="L32"/>
  <c r="F32"/>
  <c r="D32"/>
  <c r="C23" i="7"/>
  <c r="C39" i="26"/>
  <c r="L33" i="4"/>
  <c r="L25" i="8" s="1"/>
  <c r="K25"/>
  <c r="D35" i="25"/>
  <c r="H33" i="4"/>
  <c r="G41"/>
  <c r="J40" i="25"/>
  <c r="L40"/>
  <c r="D40"/>
  <c r="F35"/>
  <c r="C42"/>
  <c r="D34"/>
  <c r="L35"/>
  <c r="E23" i="7"/>
  <c r="G39" i="26"/>
  <c r="F40" i="25"/>
  <c r="F34"/>
  <c r="E42"/>
  <c r="N34"/>
  <c r="M42"/>
  <c r="J34"/>
  <c r="I42"/>
  <c r="D33" i="4"/>
  <c r="C41"/>
  <c r="E39" i="26"/>
  <c r="D23" i="7"/>
  <c r="N40" i="25"/>
  <c r="K42"/>
  <c r="L34"/>
  <c r="J33" i="4"/>
  <c r="H40" i="25"/>
  <c r="H35"/>
  <c r="H34"/>
  <c r="G42"/>
  <c r="N35"/>
  <c r="F33" i="4"/>
  <c r="J35" i="25"/>
  <c r="G20" i="11"/>
  <c r="G56" s="1"/>
  <c r="H20"/>
  <c r="H56" s="1"/>
  <c r="D23" i="2"/>
  <c r="E20" i="11"/>
  <c r="E56" s="1"/>
  <c r="C20"/>
  <c r="C56" s="1"/>
  <c r="C20" i="10"/>
  <c r="C35" s="1"/>
  <c r="J21" i="25"/>
  <c r="J27" i="15" s="1"/>
  <c r="M56" i="11"/>
  <c r="L56"/>
  <c r="K56"/>
  <c r="F56"/>
  <c r="D56"/>
  <c r="I56"/>
  <c r="E23" i="2"/>
  <c r="C23"/>
  <c r="E20" i="10"/>
  <c r="E35" s="1"/>
  <c r="L21" i="25"/>
  <c r="N21"/>
  <c r="J23" i="16"/>
  <c r="H23"/>
  <c r="I23"/>
  <c r="L20" i="25"/>
  <c r="K27" i="4"/>
  <c r="F20" i="25"/>
  <c r="E23" i="16"/>
  <c r="N19" i="25"/>
  <c r="F23" i="16"/>
  <c r="K28" i="25"/>
  <c r="I28"/>
  <c r="G23" i="16"/>
  <c r="L19" i="25"/>
  <c r="M28"/>
  <c r="E18" i="7"/>
  <c r="C23" i="16"/>
  <c r="M27" i="4"/>
  <c r="E28" i="25"/>
  <c r="F18" i="7"/>
  <c r="F23" i="2"/>
  <c r="D21" i="25"/>
  <c r="H20"/>
  <c r="F21"/>
  <c r="H21"/>
  <c r="L29" i="8"/>
  <c r="K29"/>
  <c r="E31" i="16"/>
  <c r="G31"/>
  <c r="C31"/>
  <c r="I12" i="8"/>
  <c r="H12" s="1"/>
  <c r="F19" i="25"/>
  <c r="H19"/>
  <c r="D19"/>
  <c r="N46" i="4"/>
  <c r="L46"/>
  <c r="I46" i="15"/>
  <c r="G47" i="25"/>
  <c r="H45"/>
  <c r="E46" i="15"/>
  <c r="D46" i="4"/>
  <c r="C43" i="26"/>
  <c r="D43"/>
  <c r="E51" i="4"/>
  <c r="F51"/>
  <c r="G51"/>
  <c r="H51"/>
  <c r="I51"/>
  <c r="J51"/>
  <c r="K51"/>
  <c r="L51"/>
  <c r="M51"/>
  <c r="N51"/>
  <c r="N41"/>
  <c r="K41"/>
  <c r="M41"/>
  <c r="I41"/>
  <c r="E41"/>
  <c r="I29" i="8" l="1"/>
  <c r="I27"/>
  <c r="G13"/>
  <c r="F35" i="10"/>
  <c r="F37" s="1"/>
  <c r="D35"/>
  <c r="D36" s="1"/>
  <c r="K46" i="15"/>
  <c r="C28" i="25"/>
  <c r="C46" i="15"/>
  <c r="G46" i="4"/>
  <c r="F36" i="7"/>
  <c r="F40" s="1"/>
  <c r="F41" s="1"/>
  <c r="E38" i="10"/>
  <c r="E39" s="1"/>
  <c r="G59" i="26"/>
  <c r="E62" i="4"/>
  <c r="E53" i="2"/>
  <c r="G62" i="4"/>
  <c r="E43" i="26"/>
  <c r="J41" i="4"/>
  <c r="E59" i="26"/>
  <c r="D53" i="2"/>
  <c r="K41" i="15"/>
  <c r="H41" i="4"/>
  <c r="L41"/>
  <c r="E36" i="7"/>
  <c r="E38" s="1"/>
  <c r="F41" i="4"/>
  <c r="D41"/>
  <c r="E41" i="15"/>
  <c r="C41"/>
  <c r="H41"/>
  <c r="H42" i="25"/>
  <c r="C27" i="16"/>
  <c r="C45" s="1"/>
  <c r="C25" i="8"/>
  <c r="H27" i="16"/>
  <c r="H25" i="8"/>
  <c r="I27" i="16"/>
  <c r="I45" s="1"/>
  <c r="I25" i="8"/>
  <c r="F39" i="26"/>
  <c r="N42" i="25"/>
  <c r="F41" i="15"/>
  <c r="F42" i="25"/>
  <c r="D41" i="15"/>
  <c r="D42" i="25"/>
  <c r="G27" i="16"/>
  <c r="G45" s="1"/>
  <c r="G25" i="8"/>
  <c r="E27" i="16"/>
  <c r="E45" s="1"/>
  <c r="E25" i="8"/>
  <c r="J27" i="16"/>
  <c r="J25" i="8"/>
  <c r="I41" i="15"/>
  <c r="M41"/>
  <c r="D39" i="26"/>
  <c r="F27" i="16"/>
  <c r="F25" i="8"/>
  <c r="G41" i="15"/>
  <c r="L41"/>
  <c r="L42" i="25"/>
  <c r="D27" i="16"/>
  <c r="D25" i="8"/>
  <c r="J41" i="15"/>
  <c r="J42" i="25"/>
  <c r="E25" i="26"/>
  <c r="K27" i="15"/>
  <c r="C18" i="7"/>
  <c r="C36" s="1"/>
  <c r="C40" s="1"/>
  <c r="M27" i="15"/>
  <c r="J20" i="11"/>
  <c r="J56" s="1"/>
  <c r="J58" s="1"/>
  <c r="N27" i="4"/>
  <c r="N59" s="1"/>
  <c r="D21" i="16"/>
  <c r="D23" s="1"/>
  <c r="D18" i="7"/>
  <c r="D36" s="1"/>
  <c r="D40" s="1"/>
  <c r="J28" i="25"/>
  <c r="G25" i="26"/>
  <c r="G56" s="1"/>
  <c r="G57" s="1"/>
  <c r="C27" i="4"/>
  <c r="G27"/>
  <c r="K60" i="11"/>
  <c r="K61" s="1"/>
  <c r="K59"/>
  <c r="K58"/>
  <c r="D60"/>
  <c r="D61" s="1"/>
  <c r="D59"/>
  <c r="D58"/>
  <c r="L58"/>
  <c r="L60"/>
  <c r="L61" s="1"/>
  <c r="L59"/>
  <c r="C60"/>
  <c r="C61" s="1"/>
  <c r="C59"/>
  <c r="C58"/>
  <c r="G59"/>
  <c r="G58"/>
  <c r="G60"/>
  <c r="G61" s="1"/>
  <c r="E60"/>
  <c r="E61" s="1"/>
  <c r="E59"/>
  <c r="E58"/>
  <c r="H60"/>
  <c r="H61" s="1"/>
  <c r="H59"/>
  <c r="H58"/>
  <c r="M59"/>
  <c r="M58"/>
  <c r="M60"/>
  <c r="M61" s="1"/>
  <c r="I59"/>
  <c r="I58"/>
  <c r="I60"/>
  <c r="I61" s="1"/>
  <c r="F58"/>
  <c r="F60"/>
  <c r="F61" s="1"/>
  <c r="F59"/>
  <c r="C38" i="10"/>
  <c r="C39" s="1"/>
  <c r="C37"/>
  <c r="C36"/>
  <c r="I27" i="15"/>
  <c r="G12" i="8"/>
  <c r="N28" i="25"/>
  <c r="L27" i="15"/>
  <c r="L28" i="25"/>
  <c r="K21" i="8"/>
  <c r="K43" s="1"/>
  <c r="J29"/>
  <c r="J31" i="16"/>
  <c r="J21" i="8"/>
  <c r="I21"/>
  <c r="L21"/>
  <c r="L43" s="1"/>
  <c r="L27" i="4"/>
  <c r="J27"/>
  <c r="D28" i="25"/>
  <c r="F28"/>
  <c r="D25" i="26"/>
  <c r="C25"/>
  <c r="E27" i="15"/>
  <c r="F27"/>
  <c r="C27"/>
  <c r="C29" i="8"/>
  <c r="D27" i="15"/>
  <c r="G29" i="8"/>
  <c r="E29"/>
  <c r="E27" i="4"/>
  <c r="H47" i="25"/>
  <c r="H46" i="15"/>
  <c r="K46" i="4"/>
  <c r="K59" s="1"/>
  <c r="E46"/>
  <c r="M46"/>
  <c r="M59" s="1"/>
  <c r="K47" i="25"/>
  <c r="K60" s="1"/>
  <c r="L45"/>
  <c r="M47"/>
  <c r="M60" s="1"/>
  <c r="N45"/>
  <c r="N47" s="1"/>
  <c r="I46" i="4"/>
  <c r="I59" s="1"/>
  <c r="I47" i="25"/>
  <c r="I60" s="1"/>
  <c r="J45"/>
  <c r="E47"/>
  <c r="E60" s="1"/>
  <c r="C46" i="4"/>
  <c r="C47" i="25"/>
  <c r="C60" l="1"/>
  <c r="F64" i="11"/>
  <c r="D64"/>
  <c r="C41" i="10"/>
  <c r="F36"/>
  <c r="F38" i="7"/>
  <c r="F38" i="10"/>
  <c r="F39" s="1"/>
  <c r="D37"/>
  <c r="D38"/>
  <c r="D39" s="1"/>
  <c r="F39" i="7"/>
  <c r="G59" i="4"/>
  <c r="J59"/>
  <c r="I60" s="1"/>
  <c r="E36" i="10"/>
  <c r="E37"/>
  <c r="G61" i="26"/>
  <c r="M62" i="4"/>
  <c r="F53" i="2"/>
  <c r="K59" i="15"/>
  <c r="C59"/>
  <c r="E40" i="7"/>
  <c r="E41" s="1"/>
  <c r="E39"/>
  <c r="I43" i="8"/>
  <c r="J45" i="16"/>
  <c r="J48" s="1"/>
  <c r="E59" i="15"/>
  <c r="I59"/>
  <c r="L59" i="4"/>
  <c r="K60" s="1"/>
  <c r="C56" i="26"/>
  <c r="M59" i="15"/>
  <c r="M60" s="1"/>
  <c r="E56" i="26"/>
  <c r="D56"/>
  <c r="I47" i="16"/>
  <c r="I49"/>
  <c r="I50" s="1"/>
  <c r="I48"/>
  <c r="G21" i="8"/>
  <c r="G43" s="1"/>
  <c r="C38" i="7"/>
  <c r="C39"/>
  <c r="E21" i="8"/>
  <c r="E43" s="1"/>
  <c r="D38" i="7"/>
  <c r="J60" i="11"/>
  <c r="J61" s="1"/>
  <c r="D39" i="7"/>
  <c r="J59" i="11"/>
  <c r="G27" i="15"/>
  <c r="G59" s="1"/>
  <c r="G28" i="25"/>
  <c r="G60" s="1"/>
  <c r="H21" i="8"/>
  <c r="E63" i="11"/>
  <c r="I63"/>
  <c r="G63"/>
  <c r="H63"/>
  <c r="M63"/>
  <c r="L63"/>
  <c r="C63"/>
  <c r="K63"/>
  <c r="G49" i="16"/>
  <c r="G50" s="1"/>
  <c r="G48"/>
  <c r="G47"/>
  <c r="E48"/>
  <c r="E49"/>
  <c r="E50" s="1"/>
  <c r="E47"/>
  <c r="C49"/>
  <c r="C50" s="1"/>
  <c r="C47"/>
  <c r="C48"/>
  <c r="N60" i="25"/>
  <c r="M61" s="1"/>
  <c r="M67" s="1"/>
  <c r="H27" i="4"/>
  <c r="H59" s="1"/>
  <c r="E59"/>
  <c r="J43" i="8"/>
  <c r="D29"/>
  <c r="D31" i="16"/>
  <c r="D45" s="1"/>
  <c r="F29" i="8"/>
  <c r="F31" i="16"/>
  <c r="F45" s="1"/>
  <c r="H29" i="8"/>
  <c r="H31" i="16"/>
  <c r="H45" s="1"/>
  <c r="D41" i="7"/>
  <c r="C41"/>
  <c r="K46" i="8"/>
  <c r="K47"/>
  <c r="K48" s="1"/>
  <c r="K45"/>
  <c r="L46"/>
  <c r="L47"/>
  <c r="L48" s="1"/>
  <c r="L45"/>
  <c r="C21"/>
  <c r="C43" s="1"/>
  <c r="F25" i="26"/>
  <c r="F56" s="1"/>
  <c r="G62"/>
  <c r="G63"/>
  <c r="G64" s="1"/>
  <c r="D27" i="4"/>
  <c r="F27"/>
  <c r="F59" s="1"/>
  <c r="D47" i="25"/>
  <c r="D60" s="1"/>
  <c r="D46" i="15"/>
  <c r="D59" s="1"/>
  <c r="J47" i="25"/>
  <c r="J60" s="1"/>
  <c r="I61" s="1"/>
  <c r="J46" i="15"/>
  <c r="J59" s="1"/>
  <c r="F47" i="25"/>
  <c r="F60" s="1"/>
  <c r="E61" s="1"/>
  <c r="F46" i="15"/>
  <c r="F59" s="1"/>
  <c r="L47" i="25"/>
  <c r="L60" s="1"/>
  <c r="K61" s="1"/>
  <c r="L46" i="15"/>
  <c r="L59" s="1"/>
  <c r="M60" i="4"/>
  <c r="D49" i="2"/>
  <c r="E49"/>
  <c r="F49"/>
  <c r="C49"/>
  <c r="D44"/>
  <c r="E44"/>
  <c r="F44"/>
  <c r="C44"/>
  <c r="D40"/>
  <c r="E40"/>
  <c r="F40"/>
  <c r="C40"/>
  <c r="D35"/>
  <c r="E35"/>
  <c r="F35"/>
  <c r="C35"/>
  <c r="C61" i="25" l="1"/>
  <c r="E43" i="7"/>
  <c r="E41" i="10"/>
  <c r="F41"/>
  <c r="D41"/>
  <c r="C43" i="7"/>
  <c r="C51" i="16"/>
  <c r="G51"/>
  <c r="E51"/>
  <c r="I51"/>
  <c r="L50" i="8"/>
  <c r="K50"/>
  <c r="D43" i="7"/>
  <c r="F43"/>
  <c r="G74" i="26"/>
  <c r="F51" i="2"/>
  <c r="F57" s="1"/>
  <c r="G60" i="4"/>
  <c r="G69" i="15"/>
  <c r="I73" i="25"/>
  <c r="E69" i="15"/>
  <c r="E73" i="25"/>
  <c r="M70"/>
  <c r="M72" s="1"/>
  <c r="K73"/>
  <c r="F60" i="2"/>
  <c r="J47" i="16"/>
  <c r="G45" i="8"/>
  <c r="I47"/>
  <c r="I48" s="1"/>
  <c r="J45"/>
  <c r="J49" i="16"/>
  <c r="J50" s="1"/>
  <c r="K60" i="15"/>
  <c r="C60"/>
  <c r="I60"/>
  <c r="C66" i="26"/>
  <c r="E60" i="2"/>
  <c r="G66" i="26"/>
  <c r="G69" s="1"/>
  <c r="D60" i="2"/>
  <c r="E66" i="26"/>
  <c r="C57"/>
  <c r="E51" i="2"/>
  <c r="E56" s="1"/>
  <c r="I46" i="8"/>
  <c r="I45"/>
  <c r="E60" i="15"/>
  <c r="C51" i="2"/>
  <c r="E57" i="26"/>
  <c r="J63" i="11"/>
  <c r="H43" i="8"/>
  <c r="H27" i="15"/>
  <c r="H59" s="1"/>
  <c r="G60" s="1"/>
  <c r="H28" i="25"/>
  <c r="H60" s="1"/>
  <c r="G61" s="1"/>
  <c r="G66" s="1"/>
  <c r="H47" i="16"/>
  <c r="H48"/>
  <c r="H49"/>
  <c r="H50" s="1"/>
  <c r="F47"/>
  <c r="F49"/>
  <c r="F50" s="1"/>
  <c r="F48"/>
  <c r="D48"/>
  <c r="D49"/>
  <c r="D50" s="1"/>
  <c r="D47"/>
  <c r="G46" i="8"/>
  <c r="G47"/>
  <c r="G48" s="1"/>
  <c r="D51" i="2"/>
  <c r="E60" i="4"/>
  <c r="J46" i="8"/>
  <c r="J47"/>
  <c r="J48" s="1"/>
  <c r="E47"/>
  <c r="E48" s="1"/>
  <c r="E45"/>
  <c r="E46"/>
  <c r="C47"/>
  <c r="C48" s="1"/>
  <c r="C45"/>
  <c r="C46"/>
  <c r="F21"/>
  <c r="F43" s="1"/>
  <c r="D21"/>
  <c r="D43" s="1"/>
  <c r="K68" i="25"/>
  <c r="K69" s="1"/>
  <c r="K66"/>
  <c r="K67"/>
  <c r="G67"/>
  <c r="M68"/>
  <c r="M69" s="1"/>
  <c r="M66"/>
  <c r="E68"/>
  <c r="E69" s="1"/>
  <c r="E67"/>
  <c r="E66"/>
  <c r="I66"/>
  <c r="I68"/>
  <c r="I69" s="1"/>
  <c r="I67"/>
  <c r="K72" i="4"/>
  <c r="K73" s="1"/>
  <c r="I70"/>
  <c r="C73" i="25" l="1"/>
  <c r="L60" i="8"/>
  <c r="C60" i="16"/>
  <c r="I60"/>
  <c r="E60"/>
  <c r="K60" i="8"/>
  <c r="G60" i="16"/>
  <c r="J51"/>
  <c r="D51"/>
  <c r="H51"/>
  <c r="F51"/>
  <c r="E50" i="8"/>
  <c r="C50"/>
  <c r="I50"/>
  <c r="G50"/>
  <c r="J50"/>
  <c r="G70" i="4"/>
  <c r="F64" i="2"/>
  <c r="F65" s="1"/>
  <c r="M73" i="25"/>
  <c r="M74"/>
  <c r="M75" s="1"/>
  <c r="F62" i="2"/>
  <c r="G68" i="25"/>
  <c r="G69" s="1"/>
  <c r="I74"/>
  <c r="I75" s="1"/>
  <c r="K72"/>
  <c r="F63" i="2"/>
  <c r="G68" i="26"/>
  <c r="K74" i="25"/>
  <c r="K75" s="1"/>
  <c r="I72"/>
  <c r="E74"/>
  <c r="E75" s="1"/>
  <c r="E72"/>
  <c r="M72" i="4"/>
  <c r="M73" s="1"/>
  <c r="C72" i="15"/>
  <c r="C70" i="26"/>
  <c r="C71" s="1"/>
  <c r="C69"/>
  <c r="C68"/>
  <c r="H45" i="8"/>
  <c r="E55" i="2"/>
  <c r="E57"/>
  <c r="E58" s="1"/>
  <c r="G70" i="26"/>
  <c r="G71" s="1"/>
  <c r="E70"/>
  <c r="E71" s="1"/>
  <c r="E63" i="2"/>
  <c r="C61" i="26"/>
  <c r="C63"/>
  <c r="C64" s="1"/>
  <c r="C62"/>
  <c r="C55" i="2"/>
  <c r="C56"/>
  <c r="E63" i="26"/>
  <c r="E64" s="1"/>
  <c r="E68"/>
  <c r="C57" i="2"/>
  <c r="C58" s="1"/>
  <c r="C62"/>
  <c r="E62" i="26"/>
  <c r="E69"/>
  <c r="E61"/>
  <c r="C72" i="25"/>
  <c r="C74"/>
  <c r="C75" s="1"/>
  <c r="H47" i="8"/>
  <c r="H48" s="1"/>
  <c r="H46"/>
  <c r="M70" i="4"/>
  <c r="G72"/>
  <c r="G73" s="1"/>
  <c r="K70"/>
  <c r="I71"/>
  <c r="M71"/>
  <c r="G71"/>
  <c r="K71"/>
  <c r="I72"/>
  <c r="I73" s="1"/>
  <c r="C63" i="2"/>
  <c r="E72" i="4"/>
  <c r="E73" s="1"/>
  <c r="E64" i="2"/>
  <c r="E65" s="1"/>
  <c r="D62"/>
  <c r="M64" i="4"/>
  <c r="K66"/>
  <c r="K67" s="1"/>
  <c r="I64"/>
  <c r="G65"/>
  <c r="D64" i="2"/>
  <c r="D65" s="1"/>
  <c r="D55"/>
  <c r="E71" i="4"/>
  <c r="E70"/>
  <c r="J77" i="25"/>
  <c r="L77"/>
  <c r="G66" i="4"/>
  <c r="G67" s="1"/>
  <c r="F77" i="25"/>
  <c r="N77"/>
  <c r="M66" i="4"/>
  <c r="M67" s="1"/>
  <c r="K65"/>
  <c r="M65"/>
  <c r="E64"/>
  <c r="K64"/>
  <c r="I65"/>
  <c r="I66"/>
  <c r="I67" s="1"/>
  <c r="E65"/>
  <c r="E66"/>
  <c r="E67" s="1"/>
  <c r="G64"/>
  <c r="F46" i="8"/>
  <c r="F47"/>
  <c r="F48" s="1"/>
  <c r="F45"/>
  <c r="D47"/>
  <c r="D48" s="1"/>
  <c r="D45"/>
  <c r="D46"/>
  <c r="E64" i="15"/>
  <c r="G65"/>
  <c r="I65"/>
  <c r="K65"/>
  <c r="K66"/>
  <c r="K67" s="1"/>
  <c r="I66"/>
  <c r="I67" s="1"/>
  <c r="G64"/>
  <c r="G66"/>
  <c r="G67" s="1"/>
  <c r="C65"/>
  <c r="C66"/>
  <c r="C67" s="1"/>
  <c r="K72"/>
  <c r="K73"/>
  <c r="K74" s="1"/>
  <c r="C73"/>
  <c r="C74" s="1"/>
  <c r="E66"/>
  <c r="E67" s="1"/>
  <c r="E73"/>
  <c r="E74" s="1"/>
  <c r="E72"/>
  <c r="E65"/>
  <c r="I64"/>
  <c r="K64"/>
  <c r="I73"/>
  <c r="I74" s="1"/>
  <c r="I72"/>
  <c r="M72"/>
  <c r="M73"/>
  <c r="M74" s="1"/>
  <c r="M71"/>
  <c r="C64"/>
  <c r="I71"/>
  <c r="K71"/>
  <c r="M65"/>
  <c r="M66"/>
  <c r="M67" s="1"/>
  <c r="M64"/>
  <c r="G73"/>
  <c r="G74" s="1"/>
  <c r="G72"/>
  <c r="C71"/>
  <c r="E71"/>
  <c r="G71"/>
  <c r="G74" i="25"/>
  <c r="G75" s="1"/>
  <c r="G72"/>
  <c r="G73"/>
  <c r="C68"/>
  <c r="C69" s="1"/>
  <c r="C67"/>
  <c r="C66"/>
  <c r="C64" i="2"/>
  <c r="E62"/>
  <c r="D63"/>
  <c r="F56"/>
  <c r="D57"/>
  <c r="D58" s="1"/>
  <c r="F55"/>
  <c r="D56"/>
  <c r="F58"/>
  <c r="J76" i="15" l="1"/>
  <c r="F77"/>
  <c r="E68" i="2"/>
  <c r="D77" i="15"/>
  <c r="L77"/>
  <c r="F67" i="2"/>
  <c r="D68"/>
  <c r="F68"/>
  <c r="C67"/>
  <c r="E67"/>
  <c r="D67"/>
  <c r="H77" i="15"/>
  <c r="L75" i="4"/>
  <c r="J77" i="15"/>
  <c r="L76"/>
  <c r="D60" i="16"/>
  <c r="J60" i="8"/>
  <c r="E60"/>
  <c r="J60" i="16"/>
  <c r="G60" i="8"/>
  <c r="F60" i="16"/>
  <c r="I60" i="8"/>
  <c r="H60" i="16"/>
  <c r="C60" i="8"/>
  <c r="F76" i="4"/>
  <c r="M77" i="15"/>
  <c r="F74" i="26"/>
  <c r="N76" i="4"/>
  <c r="J76"/>
  <c r="L76"/>
  <c r="H76"/>
  <c r="H50" i="8"/>
  <c r="F50"/>
  <c r="D50"/>
  <c r="H76" i="15"/>
  <c r="D76"/>
  <c r="F76"/>
  <c r="F75" i="4"/>
  <c r="H75"/>
  <c r="N75"/>
  <c r="J75"/>
  <c r="D74" i="26"/>
  <c r="H77" i="25"/>
  <c r="N78"/>
  <c r="L78"/>
  <c r="J78"/>
  <c r="F78"/>
  <c r="M76" i="15"/>
  <c r="D78" i="25"/>
  <c r="G75" i="26"/>
  <c r="D75"/>
  <c r="F75"/>
  <c r="D77" i="25"/>
  <c r="H78"/>
  <c r="C65" i="2"/>
  <c r="C68" l="1"/>
  <c r="H60" i="8"/>
  <c r="F60"/>
  <c r="D60"/>
  <c r="D57" i="4"/>
  <c r="C57"/>
  <c r="D51"/>
  <c r="D59" s="1"/>
  <c r="C51"/>
  <c r="C59" s="1"/>
  <c r="C60" l="1"/>
  <c r="C70" s="1"/>
  <c r="C71" l="1"/>
  <c r="C72"/>
  <c r="C73" s="1"/>
  <c r="C66"/>
  <c r="C67" s="1"/>
  <c r="C65"/>
  <c r="C64"/>
  <c r="D75" s="1"/>
  <c r="D76"/>
</calcChain>
</file>

<file path=xl/sharedStrings.xml><?xml version="1.0" encoding="utf-8"?>
<sst xmlns="http://schemas.openxmlformats.org/spreadsheetml/2006/main" count="1935" uniqueCount="634">
  <si>
    <t>2"</t>
  </si>
  <si>
    <t>3"</t>
  </si>
  <si>
    <t>4"</t>
  </si>
  <si>
    <t>6"</t>
  </si>
  <si>
    <t>8"</t>
  </si>
  <si>
    <t>10"</t>
  </si>
  <si>
    <t>12"</t>
  </si>
  <si>
    <t>14"</t>
  </si>
  <si>
    <t>16"</t>
  </si>
  <si>
    <t>HOP TAP</t>
  </si>
  <si>
    <t>SERVICIO DE PERFORACION</t>
  </si>
  <si>
    <t>VIATICOS</t>
  </si>
  <si>
    <t>SUBTOTAL</t>
  </si>
  <si>
    <t>COLD TAP</t>
  </si>
  <si>
    <t>DESGASIFICADO - PERDIDA DE GAS</t>
  </si>
  <si>
    <t>CORTE Y BISELADO</t>
  </si>
  <si>
    <t>DIAMETRO</t>
  </si>
  <si>
    <t>Costo US para 24 km**</t>
  </si>
  <si>
    <t>u$ por Km</t>
  </si>
  <si>
    <t>m3 por Km</t>
  </si>
  <si>
    <t>Presion (psig)</t>
  </si>
  <si>
    <t>Distan entre valvulas</t>
  </si>
  <si>
    <t>f Reduccion de volumen</t>
  </si>
  <si>
    <t>Costo por M3</t>
  </si>
  <si>
    <t>*Se asume que existen valvulas de corte cada 24 Km</t>
  </si>
  <si>
    <t xml:space="preserve">COSTO DE GAS PERDIDA EN DISTRIBUCION </t>
  </si>
  <si>
    <t xml:space="preserve">F. Reduccion de Volumen </t>
  </si>
  <si>
    <t>Distancia entre Valvulas</t>
  </si>
  <si>
    <t xml:space="preserve">Presion </t>
  </si>
  <si>
    <t>U$ por Km</t>
  </si>
  <si>
    <t>* Se asume que existen valvulas de corte cada 8 Km</t>
  </si>
  <si>
    <t>DESCRIPCION</t>
  </si>
  <si>
    <t>ACTIVIDADES DE LOGISTICA Y GENERALES</t>
  </si>
  <si>
    <t>INGENIERIA</t>
  </si>
  <si>
    <t>DISEÑO PRELIMINAR</t>
  </si>
  <si>
    <t>CALCULOS ESPESOR DE PARED</t>
  </si>
  <si>
    <t>ANALISIS HIDRAULICO</t>
  </si>
  <si>
    <t xml:space="preserve">DOCUMENTACION </t>
  </si>
  <si>
    <t>PLANOS</t>
  </si>
  <si>
    <t xml:space="preserve">ESPECIFICACIONES DE COMPRA DE MATERIALES </t>
  </si>
  <si>
    <t>ESPECIFICACIONES DE MONTAJE</t>
  </si>
  <si>
    <t xml:space="preserve">ADMINISTRACION Y PLANEACION </t>
  </si>
  <si>
    <t>TRANSPORTE</t>
  </si>
  <si>
    <t xml:space="preserve">LOGISTICA DE IMPORTACION </t>
  </si>
  <si>
    <t xml:space="preserve">ARANCEL E INTERMEDIACION ADUANERA </t>
  </si>
  <si>
    <t>DOCUMENTOS</t>
  </si>
  <si>
    <t xml:space="preserve">SUBTOTAL </t>
  </si>
  <si>
    <t>PRUEBAS</t>
  </si>
  <si>
    <t>A.T.S. ANALISIS DE TRABAJO SEGURO</t>
  </si>
  <si>
    <t>DUREAZA, ESPESOR TUBERIA EXISTENTE</t>
  </si>
  <si>
    <t>HIDROSTATICAS</t>
  </si>
  <si>
    <t>NEUMATICA (NITROGENO)</t>
  </si>
  <si>
    <t>RAYOS X</t>
  </si>
  <si>
    <t xml:space="preserve">ULTRASONIDO </t>
  </si>
  <si>
    <t>PARTICULAS MAGNETICAS Y TINTAS PENETRANTES</t>
  </si>
  <si>
    <t xml:space="preserve">ESPESOR DE REVESTIMIENTO </t>
  </si>
  <si>
    <t>CALIFICACION DEL SOLDADOR Y DEL PROCEDIMIENTO DE LA SOLDADURA</t>
  </si>
  <si>
    <t>MANO DE OBRA</t>
  </si>
  <si>
    <t xml:space="preserve">PREFABRICACION </t>
  </si>
  <si>
    <t>SOLDADURAS EN SITIO</t>
  </si>
  <si>
    <t>ACTIVIDADES FINALES</t>
  </si>
  <si>
    <t>REPARACION DE REVESTIMIENTO EXISTENTE</t>
  </si>
  <si>
    <t>MATERIALES</t>
  </si>
  <si>
    <t>WELDOLET</t>
  </si>
  <si>
    <t>BRIDA WELDING NECK</t>
  </si>
  <si>
    <t>SUBTOTALES UCADE 1</t>
  </si>
  <si>
    <t>HOT TAP</t>
  </si>
  <si>
    <t>TOTALES UCADE 1.2 (CON COLD TAP)</t>
  </si>
  <si>
    <t xml:space="preserve">NOTA 1: NO SE TIENE EN CUENTA EL DIAMETRO DE LA TUBERIA PRINCIPAL, YA QUE EL WELDOLET SE INSTALA CUANDO CORRESPONDE AL 30% O MENOS  DEL DIAMETRO DE LA LINEA PRINCIPAL </t>
  </si>
  <si>
    <t xml:space="preserve">UNIDAD CONSTRUCTIVA DERIVACION UCAD 1 COSTO MINIMO EFICIENTE DETALLADO </t>
  </si>
  <si>
    <t>SPLIT TEE</t>
  </si>
  <si>
    <t>BARRAS GUIA</t>
  </si>
  <si>
    <t>PROMEDIOS</t>
  </si>
  <si>
    <t>RANGO 1 DE 2" A 4"</t>
  </si>
  <si>
    <t>RANGO 3 DE 12" A 16"</t>
  </si>
  <si>
    <t>RANGO 4 DE 18" A 24"</t>
  </si>
  <si>
    <t>DESCIPCION</t>
  </si>
  <si>
    <t>DOCUMENTACION</t>
  </si>
  <si>
    <t>ESPECIFICACIONES DE COMPRA DE MATERIALES</t>
  </si>
  <si>
    <t>VERIFICACION DE ESPESORES DE TUBERIA</t>
  </si>
  <si>
    <t xml:space="preserve">A.T.S. ANALISIS DE TRABAJO SEGURO </t>
  </si>
  <si>
    <t>DUREZA, ESPESOR TUBERIA EXISTENTE</t>
  </si>
  <si>
    <t>NEUMATICAS (NITROGENO)</t>
  </si>
  <si>
    <t xml:space="preserve">ESPESORES DE REVESTIMIENTOS </t>
  </si>
  <si>
    <t xml:space="preserve">CALIFICACION DE SOLDADOR Y DE PROCEDIMIENTO DE SOLDADURA </t>
  </si>
  <si>
    <t xml:space="preserve">SOLDADURA EN SITIO </t>
  </si>
  <si>
    <t>SUBTOTAL UCADE 2</t>
  </si>
  <si>
    <t>TOTAL UCADE 2.1 (CON HOT TAP)</t>
  </si>
  <si>
    <t>TOTAL UCADE 2.2 (CON COLD TAP)</t>
  </si>
  <si>
    <t>DIAM MENOR</t>
  </si>
  <si>
    <t>DIAM MAYOR</t>
  </si>
  <si>
    <t xml:space="preserve">SEGÚN DIAM. TRONCAL </t>
  </si>
  <si>
    <t xml:space="preserve">LINEA PRINCIPAL </t>
  </si>
  <si>
    <t>NOTAS 1: LOS RANGOS DE LA TUBERIA  PRINCIPAL SON:</t>
  </si>
  <si>
    <t>RANGO 2 DE  6" A 10"</t>
  </si>
  <si>
    <t xml:space="preserve">RANGO 4 DE 18" A 24" </t>
  </si>
  <si>
    <t xml:space="preserve">NOTA 2. EL DIAMETRO MENOR CORRESPONDE AL DE LA TUBERIA PRINCIPAL DE ACUERDO AL RANGO. MINIMO EL DIAMETRO DE LA DERIVACION </t>
  </si>
  <si>
    <t xml:space="preserve">NOTA3: EL DIAMETRO MAYOR CORRESPONDE AL DE LA TUBERIA PRINCIPAL  DE ACUERDO AL RANGO </t>
  </si>
  <si>
    <t xml:space="preserve">NOTA4: EL VALOR DE LA UNIDAD CONSTRUCTIVA DE DERIVACION SE TOMA DE UN PROMEDIO ENTRE EL DIAMETRO  MAYOR  Y EL DIAMETRO MENOR DE CADA DERIVACION </t>
  </si>
  <si>
    <t>RANGO 2 DE 6" A 10"</t>
  </si>
  <si>
    <t xml:space="preserve">DESCIPCION </t>
  </si>
  <si>
    <t>especificaciones de montaje</t>
  </si>
  <si>
    <t xml:space="preserve">PREFABRICACION POR TERMOFUSION </t>
  </si>
  <si>
    <t xml:space="preserve">PEGA EN SITIO POR ELECTROFUSION </t>
  </si>
  <si>
    <t xml:space="preserve">ALQUILER EQUIPO </t>
  </si>
  <si>
    <t xml:space="preserve">ACCESORIO DE DERIVACION </t>
  </si>
  <si>
    <t>SUBTOTALES</t>
  </si>
  <si>
    <t>LOGISTICA DE IMPORTACION</t>
  </si>
  <si>
    <t>ARANCEL E INTERMEDIACION ADUANERA</t>
  </si>
  <si>
    <t>PRUEBAS DE VALVULA SEGÚN API 6D</t>
  </si>
  <si>
    <t>MONTAJE DE VALVULA</t>
  </si>
  <si>
    <t>BY PASS (SOLO ANSI 600)</t>
  </si>
  <si>
    <t xml:space="preserve">BY PASS </t>
  </si>
  <si>
    <t>OTROS</t>
  </si>
  <si>
    <t>VALVULAS</t>
  </si>
  <si>
    <t>VALVULAS DE BOLA API 6D</t>
  </si>
  <si>
    <t>ACTUADOR NEUMATICA</t>
  </si>
  <si>
    <t>CONEXIÓN Y CALIBRACION DE ACTUADOR</t>
  </si>
  <si>
    <t>ANSI 600</t>
  </si>
  <si>
    <t>ANSI 300</t>
  </si>
  <si>
    <t>UNIDAD CONSTRUCTIVA DE VALVULA UCVAL 1 Y UCVAL 2</t>
  </si>
  <si>
    <t xml:space="preserve">DIAMETROS DE VALVULAS DE ACERO AL CARBON </t>
  </si>
  <si>
    <t>POLIVALVULAS</t>
  </si>
  <si>
    <t>TOTAL UCVAL 1.1</t>
  </si>
  <si>
    <t xml:space="preserve">DESCRIPCION </t>
  </si>
  <si>
    <t xml:space="preserve">ACTIVIDADES DE LOGISTICA  Y GENERALES </t>
  </si>
  <si>
    <t xml:space="preserve">INGENIERIA </t>
  </si>
  <si>
    <t xml:space="preserve">LEVANTAMIENTO O TOPOGRAFIA DEL TERRENO </t>
  </si>
  <si>
    <t>LOGISTICA</t>
  </si>
  <si>
    <t>VISITAS</t>
  </si>
  <si>
    <t>PERMISOS Y LICENCIAS</t>
  </si>
  <si>
    <t>SERVIDUMBRES Y TIERRAS</t>
  </si>
  <si>
    <t xml:space="preserve">ADMIONISTRACION Y PLANEACION </t>
  </si>
  <si>
    <t xml:space="preserve">PROCTOR MODIFICADO </t>
  </si>
  <si>
    <t>CILINDROS DE CONCRETO</t>
  </si>
  <si>
    <t>PRELIMINARES</t>
  </si>
  <si>
    <t xml:space="preserve">REPLANTEO </t>
  </si>
  <si>
    <t>DESCAPOTE</t>
  </si>
  <si>
    <t xml:space="preserve">DEMOLICIONES </t>
  </si>
  <si>
    <t>FILTROS</t>
  </si>
  <si>
    <t>OBRAS DE PROTECCION</t>
  </si>
  <si>
    <t>EXCAVACIONES</t>
  </si>
  <si>
    <t xml:space="preserve">EXCAVACIONES A MANO </t>
  </si>
  <si>
    <t>EXCAVACIONES MECANICAS</t>
  </si>
  <si>
    <t xml:space="preserve">RELLENO </t>
  </si>
  <si>
    <t>RELLENO COMPACTADO - TIPO B</t>
  </si>
  <si>
    <t>RELLENO COMPACTADO - TIPO A</t>
  </si>
  <si>
    <t>CONCRETOS</t>
  </si>
  <si>
    <t>CONCRETO 3000 PSI - ESTRUCTURAL PLACAS, MUROS Y PISOS</t>
  </si>
  <si>
    <t>CONCRETOS 3000 PSI - COLUMNAS Y VIGAS DE CONFINAMIENTO</t>
  </si>
  <si>
    <t>CONCRETO 3000 PSI - ANDENES</t>
  </si>
  <si>
    <t xml:space="preserve">CONCRETO DE LIMPIEZA 1500 PSI </t>
  </si>
  <si>
    <t>CONCRETO DE SOPORTE  VALVULAS</t>
  </si>
  <si>
    <t>ACERO DE REFUERZO</t>
  </si>
  <si>
    <t xml:space="preserve">MANPOSTERIA </t>
  </si>
  <si>
    <t xml:space="preserve">OTROS </t>
  </si>
  <si>
    <t xml:space="preserve">SUMINISTRO E INSTALACIONES TAPA EN LAMINA  ALFAJOR </t>
  </si>
  <si>
    <t>SUMINISTRO E INSTALACIONES VENTEO EN TUBERIA METALICA</t>
  </si>
  <si>
    <t>SELLO PARA MURO  TUBERIA PRINCIPAL Y TUBERIA DE DERIVACION</t>
  </si>
  <si>
    <t xml:space="preserve">RECOMPOSICION DE TERRENO </t>
  </si>
  <si>
    <t>ACERO</t>
  </si>
  <si>
    <t>POLIET</t>
  </si>
  <si>
    <t xml:space="preserve">ACERO </t>
  </si>
  <si>
    <t>UNIDAD CONSTRUCTIVA CAJA DE INSPECCION UCCIN 1 Y UCCIN 2</t>
  </si>
  <si>
    <t>FUENTE DE INFORMACION</t>
  </si>
  <si>
    <t>REV 00</t>
  </si>
  <si>
    <t>Costo por M3*</t>
  </si>
  <si>
    <r>
      <rPr>
        <sz val="11"/>
        <color theme="0"/>
        <rFont val="Bauhaus 93"/>
        <family val="5"/>
      </rPr>
      <t>ESFERA INGENIERIA LTDA</t>
    </r>
    <r>
      <rPr>
        <sz val="11"/>
        <color theme="1"/>
        <rFont val="Calibri"/>
        <family val="2"/>
        <scheme val="minor"/>
      </rPr>
      <t xml:space="preserve"> 
</t>
    </r>
    <r>
      <rPr>
        <b/>
        <sz val="11"/>
        <color rgb="FF002060"/>
        <rFont val="Calibri"/>
        <family val="2"/>
        <scheme val="minor"/>
      </rPr>
      <t>ING CHARLIE PRADO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rgb="FF002060"/>
        <rFont val="Calibri"/>
        <family val="2"/>
        <scheme val="minor"/>
      </rPr>
      <t>Asesoria en Ingenieria Electromecanica</t>
    </r>
  </si>
  <si>
    <r>
      <rPr>
        <sz val="11"/>
        <color theme="0"/>
        <rFont val="Bauhaus 93"/>
        <family val="5"/>
      </rPr>
      <t>ESFERA INGENIERIA LTDA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002060"/>
        <rFont val="Calibri"/>
        <family val="2"/>
        <scheme val="minor"/>
      </rPr>
      <t>ING CHARLIE PRADO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rgb="FF002060"/>
        <rFont val="Calibri"/>
        <family val="2"/>
        <scheme val="minor"/>
      </rPr>
      <t>Asesoria en Ingenieria
 Electromecanica</t>
    </r>
  </si>
  <si>
    <t>UNIDAD CONSTRUCTIVA DERIVACION UCADE 2.3 - 2</t>
  </si>
  <si>
    <t xml:space="preserve">SUBTOTALES </t>
  </si>
  <si>
    <t>SUB TOTAL</t>
  </si>
  <si>
    <t>HERRAMIENTAS</t>
  </si>
  <si>
    <t>Ingeniero de  Campo</t>
  </si>
  <si>
    <t>Inspector de Calidad</t>
  </si>
  <si>
    <t>Oficial Tubero</t>
  </si>
  <si>
    <t>Operario Tapinadora</t>
  </si>
  <si>
    <t>Carga Prestacional</t>
  </si>
  <si>
    <t>Total Mano de Obra Mes</t>
  </si>
  <si>
    <t># horas trabajadas /mes</t>
  </si>
  <si>
    <t>salario Ingeniero esp diseño</t>
  </si>
  <si>
    <t>Salud</t>
  </si>
  <si>
    <t>ARL</t>
  </si>
  <si>
    <t>Primas</t>
  </si>
  <si>
    <t>Cesantias</t>
  </si>
  <si>
    <t>Cajas de comp.</t>
  </si>
  <si>
    <t>Sena</t>
  </si>
  <si>
    <t>ICBF</t>
  </si>
  <si>
    <t>Vacaciones</t>
  </si>
  <si>
    <t>Int/ Cesantias</t>
  </si>
  <si>
    <t xml:space="preserve">1. </t>
  </si>
  <si>
    <t>2.</t>
  </si>
  <si>
    <t>3.</t>
  </si>
  <si>
    <t>INGENIERO DE DISEÑO</t>
  </si>
  <si>
    <t>INGENIERO DE CAMPO</t>
  </si>
  <si>
    <t>INSPECTOR DE CALIDAD</t>
  </si>
  <si>
    <t>6.</t>
  </si>
  <si>
    <t>salario Sobrestante Construccion</t>
  </si>
  <si>
    <t>OFICIAL TUBERO</t>
  </si>
  <si>
    <t>7.</t>
  </si>
  <si>
    <t>8.</t>
  </si>
  <si>
    <t>9.</t>
  </si>
  <si>
    <t>AYUDANTE DE SOLDADURA</t>
  </si>
  <si>
    <t>S.I.SO (TECNICO SEG. INDUSTRIAL)</t>
  </si>
  <si>
    <t>Soldador Calificado</t>
  </si>
  <si>
    <t>Ayudante de Soldadura</t>
  </si>
  <si>
    <t>Total. Vr H.H - Ingeniero diseño</t>
  </si>
  <si>
    <t>Total Vr H.H - Ingeniero Campo</t>
  </si>
  <si>
    <t>Total Vr H.H - Inspector Calidad</t>
  </si>
  <si>
    <t>Total Vr H.H - Sobrestante de const.</t>
  </si>
  <si>
    <t>CONDUCTOR</t>
  </si>
  <si>
    <t>Tecnico seg. Industrial</t>
  </si>
  <si>
    <t xml:space="preserve">Carga Prestacional </t>
  </si>
  <si>
    <t>4.</t>
  </si>
  <si>
    <t>5.</t>
  </si>
  <si>
    <t>10.</t>
  </si>
  <si>
    <t>Pension</t>
  </si>
  <si>
    <t>Sub Total carga prestacional</t>
  </si>
  <si>
    <t>Conductor</t>
  </si>
  <si>
    <t>Total Vr H-H - Oficial Tubero</t>
  </si>
  <si>
    <t>Total Vr H-H-Soldador Calificado</t>
  </si>
  <si>
    <t>Total Vr H-H -Ayudante de Soldadura</t>
  </si>
  <si>
    <t>Total Vr H-H- S.I.S.O (Tecnico Seguridad)</t>
  </si>
  <si>
    <t>Total Vr H-H Operario Tapinadora</t>
  </si>
  <si>
    <t>Total Vr H-h-Conductor</t>
  </si>
  <si>
    <t>11.</t>
  </si>
  <si>
    <t>Total Vr H-H-Dibujante</t>
  </si>
  <si>
    <t>Ingeniero de diseño</t>
  </si>
  <si>
    <t>Dibujante</t>
  </si>
  <si>
    <t>Papeleria</t>
  </si>
  <si>
    <t>Computador</t>
  </si>
  <si>
    <t>Impresora</t>
  </si>
  <si>
    <t>valor compra impresora $830,000 depreciable a 6 meses, incluye insumos de tinta</t>
  </si>
  <si>
    <t>Software</t>
  </si>
  <si>
    <t>valor de compra software depreciado a 1 año $5.000.000</t>
  </si>
  <si>
    <t>Se considera una ocupacion de un dia laboral de 9,5 h en todos los casos</t>
  </si>
  <si>
    <t>Subtotal Calculo Espesor de Pared</t>
  </si>
  <si>
    <t>CALCULO ESPESOR DE PARED</t>
  </si>
  <si>
    <t>Se considera una ocupacion de cinco dias laborales de 9,5 h en todos los casos</t>
  </si>
  <si>
    <t>Subtotal Analisis Hidraulico</t>
  </si>
  <si>
    <t>18"</t>
  </si>
  <si>
    <t>20"</t>
  </si>
  <si>
    <t>24"</t>
  </si>
  <si>
    <t>Subtotal  Planos</t>
  </si>
  <si>
    <t>Asistente de ingenieria</t>
  </si>
  <si>
    <t>Subtotal Espec. Compra materiales</t>
  </si>
  <si>
    <t>Subtotal  espec. De montaje</t>
  </si>
  <si>
    <t>DIBUJANTE Y/O ASISTENTE</t>
  </si>
  <si>
    <t>12.</t>
  </si>
  <si>
    <t>Subtotal  logistica de importacion</t>
  </si>
  <si>
    <t>PREFABRICACION</t>
  </si>
  <si>
    <t>TUBERO</t>
  </si>
  <si>
    <t>AYUDANTE</t>
  </si>
  <si>
    <t>MANO DE OBRA EN SITIO</t>
  </si>
  <si>
    <t xml:space="preserve">WELDING NECK </t>
  </si>
  <si>
    <t>EMPAQUE ESPIROMETALICO</t>
  </si>
  <si>
    <t>TEE PARTIDA SPLIT TEE</t>
  </si>
  <si>
    <t>3. Poblado, otros servicios publicos, via  arteria de baja circulacion, posibilidad de cierre</t>
  </si>
  <si>
    <t>2. Zona vedada por autoridad local, se requieren permisos especiales</t>
  </si>
  <si>
    <t>1. Via de alto transito, Servicios publicos congestionados, intervencion de otros trabajos la mismo tiempo</t>
  </si>
  <si>
    <t>Factor de localizacion constructiva</t>
  </si>
  <si>
    <t>FLC:</t>
  </si>
  <si>
    <t xml:space="preserve">Categoria 3 (2% mas del costo final) </t>
  </si>
  <si>
    <t xml:space="preserve">Categoria 2 (4% mas del costo final) </t>
  </si>
  <si>
    <t xml:space="preserve">Categoria 1 (7% mas del costo final) </t>
  </si>
  <si>
    <t>Criterios</t>
  </si>
  <si>
    <t>factor</t>
  </si>
  <si>
    <t>3. Ubicación en zonas de facil acceso entre 0,5 y 1 km</t>
  </si>
  <si>
    <t>2. Ubicación en zonas dificiles 1 y 3 km</t>
  </si>
  <si>
    <t xml:space="preserve">1. Ubicación en zonas descarpadas o inhospitas a mas de 3km de via </t>
  </si>
  <si>
    <t>Factor de dificultad de acceso</t>
  </si>
  <si>
    <t>FDA:</t>
  </si>
  <si>
    <t xml:space="preserve">Categoria 3 (5% mas del costo final) </t>
  </si>
  <si>
    <t xml:space="preserve">Categoria 2 (10% mas del costo final) </t>
  </si>
  <si>
    <t xml:space="preserve">Categoria 1 (20% mas del costo final) </t>
  </si>
  <si>
    <t>4. Topografias agrestes de mas del 25% en pendiente</t>
  </si>
  <si>
    <t>3. Suelos con procesos dinamicos</t>
  </si>
  <si>
    <r>
      <t>2. Suelos con baja resistencia (&lt; 2 ton/m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</si>
  <si>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Suelos con nivel freatico alto</t>
  </si>
  <si>
    <t>Factor de complejidad constructiva</t>
  </si>
  <si>
    <t>FCC:</t>
  </si>
  <si>
    <t xml:space="preserve">Baja (2% mas del costo final) </t>
  </si>
  <si>
    <t xml:space="preserve">Media (5% mas del costo final) </t>
  </si>
  <si>
    <t xml:space="preserve">Alta (10% mas del costo final) </t>
  </si>
  <si>
    <t>Donde :</t>
  </si>
  <si>
    <t>A+B+[C*(FCC-FDA*FLC)]</t>
  </si>
  <si>
    <t xml:space="preserve">Costo Maximo= </t>
  </si>
  <si>
    <t>Hace referencia al uso de caja de inspeccion en el punto de entrada o salida</t>
  </si>
  <si>
    <t>UCCIN1</t>
  </si>
  <si>
    <t>Valvula de corte con actuador, conexión mayor de 6" , Longitud de conexión superior a 2 km</t>
  </si>
  <si>
    <t>UCVAL2</t>
  </si>
  <si>
    <t>Valvula de corte sin actuador</t>
  </si>
  <si>
    <t>UCVAL1</t>
  </si>
  <si>
    <t>Se utiliza Split tee, cuando el diametro de la derivacion es igual o mayor al 30% de la linea troncal. Se instala una rejilla cuando la linea troncal esta diseñada para el paso de raspadores.</t>
  </si>
  <si>
    <t>UCADE2:</t>
  </si>
  <si>
    <t>Se utiliza un weldolet, solo cuando el diametro de la derivacion es  menor  que el 30% del diametro de la linea troncal</t>
  </si>
  <si>
    <t>UCADE1:</t>
  </si>
  <si>
    <t>Conexión sobre gasoductos fuera de servicio</t>
  </si>
  <si>
    <t>Cold Tap:</t>
  </si>
  <si>
    <t>Conexión sobre gasoductos en servicio</t>
  </si>
  <si>
    <t>Hot Tap:</t>
  </si>
  <si>
    <t>Guia</t>
  </si>
  <si>
    <t>UCADE2</t>
  </si>
  <si>
    <t>UCADE1</t>
  </si>
  <si>
    <t>Cold Tap</t>
  </si>
  <si>
    <t>Hot Tap</t>
  </si>
  <si>
    <t>C</t>
  </si>
  <si>
    <t>B</t>
  </si>
  <si>
    <t>A</t>
  </si>
  <si>
    <t>Caja de Inspeccion</t>
  </si>
  <si>
    <t>Valvula</t>
  </si>
  <si>
    <t>Derivacion</t>
  </si>
  <si>
    <t>Metodo Constructivo</t>
  </si>
  <si>
    <r>
      <rPr>
        <sz val="10"/>
        <color theme="0"/>
        <rFont val="Bauhaus 93"/>
        <family val="5"/>
      </rPr>
      <t>ESFERA INGENIERIA LTDA</t>
    </r>
    <r>
      <rPr>
        <sz val="10"/>
        <color theme="1"/>
        <rFont val="Calibri"/>
        <family val="2"/>
        <scheme val="minor"/>
      </rPr>
      <t xml:space="preserve"> 
</t>
    </r>
    <r>
      <rPr>
        <b/>
        <sz val="10"/>
        <color rgb="FF002060"/>
        <rFont val="Calibri"/>
        <family val="2"/>
        <scheme val="minor"/>
      </rPr>
      <t>ING CHARLIE PRADO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2060"/>
        <rFont val="Calibri"/>
        <family val="2"/>
        <scheme val="minor"/>
      </rPr>
      <t>Asesoria en Ingenieria Electromecanica</t>
    </r>
  </si>
  <si>
    <t>UCADE3:</t>
  </si>
  <si>
    <t>Se utiliza three way tee, cuando el diametro de la derivacion es igual o mayor al 30% de la linea troncal. Se instala una rejilla cuando la linea troncal esta diseñada para el paso de raspadores.</t>
  </si>
  <si>
    <t>UCADE3</t>
  </si>
  <si>
    <t>N/A</t>
  </si>
  <si>
    <t>Valvula de Sacrificio</t>
  </si>
  <si>
    <t xml:space="preserve"> 1.02</t>
  </si>
  <si>
    <t>1.04</t>
  </si>
  <si>
    <t xml:space="preserve"> 1.07 </t>
  </si>
  <si>
    <t>1.05</t>
  </si>
  <si>
    <t xml:space="preserve">1.10 </t>
  </si>
  <si>
    <t xml:space="preserve"> 1.20 </t>
  </si>
  <si>
    <t>1.02</t>
  </si>
  <si>
    <t xml:space="preserve">1.05 </t>
  </si>
  <si>
    <t>BAJA</t>
  </si>
  <si>
    <t>MEDIA</t>
  </si>
  <si>
    <t>ALTA</t>
  </si>
  <si>
    <t>CLASE DE LOCALIZACIÓN CONSTRUCTIVA % ADIICONAL AL VR. TOTAL DE UCCIN</t>
  </si>
  <si>
    <t>DIFICULTAD DE ACCESO % ADICIONAL AL  TRANSPORTE DE UCCIN</t>
  </si>
  <si>
    <t>COMPLEJIDAD CONSTRUCTIVA % ADICIONAL AL VR. TOTAL DE UCCIN</t>
  </si>
  <si>
    <t xml:space="preserve">REVISION DE COSTOS RESOLUCION 
169-2011 CREG 
</t>
  </si>
  <si>
    <t>Composicion de Analisis de Costo Unitario</t>
  </si>
  <si>
    <t>DOCUM 03-APU-2014</t>
  </si>
  <si>
    <t>DOCUM 01-FC-2014</t>
  </si>
  <si>
    <t xml:space="preserve">REVISION DE COSTOS RESOLUCION 
169-2011 CREG </t>
  </si>
  <si>
    <t xml:space="preserve">FACTORES DE COMPLEJIDAD </t>
  </si>
  <si>
    <t>DOCUM 02-HH-2014</t>
  </si>
  <si>
    <t>DETALLE H-H MANO DE OBRA</t>
  </si>
  <si>
    <t>CUADRO GUIA ESTRUCTURA DE COSTOS</t>
  </si>
  <si>
    <t>DOCUM 04-CG-2014</t>
  </si>
  <si>
    <t>EJECUCION DE LA DERIVACION</t>
  </si>
  <si>
    <t>DOCUM 05-ED-2014</t>
  </si>
  <si>
    <t>DOCUM 06-UC1-2014</t>
  </si>
  <si>
    <t>Tomado de documento Itansuca, afectado por formula CREG</t>
  </si>
  <si>
    <t>UCDEC/10</t>
  </si>
  <si>
    <t>IPPm</t>
  </si>
  <si>
    <t>% de IPC (% de ponderacion)</t>
  </si>
  <si>
    <t>% IPP (% de Ponderacion)</t>
  </si>
  <si>
    <t>IPPm (Indice de precios al productos DANE)</t>
  </si>
  <si>
    <t>Ucm=</t>
  </si>
  <si>
    <t>% de IPC x</t>
  </si>
  <si>
    <t xml:space="preserve"> + %IPP x</t>
  </si>
  <si>
    <r>
      <t>IPC</t>
    </r>
    <r>
      <rPr>
        <sz val="8"/>
        <color theme="1"/>
        <rFont val="Calibri"/>
        <family val="2"/>
        <scheme val="minor"/>
      </rPr>
      <t xml:space="preserve"> m</t>
    </r>
  </si>
  <si>
    <r>
      <t>IPC</t>
    </r>
    <r>
      <rPr>
        <sz val="8"/>
        <color theme="1"/>
        <rFont val="Calibri"/>
        <family val="2"/>
        <scheme val="minor"/>
      </rPr>
      <t>m</t>
    </r>
  </si>
  <si>
    <t>IPC/04</t>
  </si>
  <si>
    <t>IPP /04</t>
  </si>
  <si>
    <t>Formula</t>
  </si>
  <si>
    <t>Tasa de cambio octubre 2014</t>
  </si>
  <si>
    <t>factor material en costo total Split tee</t>
  </si>
  <si>
    <t>Tomado de cotizacion HMF (oct 29-2014)</t>
  </si>
  <si>
    <t>MANTENIMIENTO</t>
  </si>
  <si>
    <t>COMBUSTIBLE</t>
  </si>
  <si>
    <t>ADMINISTRACION</t>
  </si>
  <si>
    <t>Subtotal  Transporte</t>
  </si>
  <si>
    <t>Subtotal  Materiales</t>
  </si>
  <si>
    <t>APLICACIÓN DE FORMULA CREG PARA ACTUALIZAR COSTOS</t>
  </si>
  <si>
    <t>Subtotal  Actividades finales</t>
  </si>
  <si>
    <r>
      <t>UC</t>
    </r>
    <r>
      <rPr>
        <sz val="8"/>
        <color theme="1"/>
        <rFont val="Calibri"/>
        <family val="2"/>
        <scheme val="minor"/>
      </rPr>
      <t>DEC04</t>
    </r>
    <r>
      <rPr>
        <sz val="11"/>
        <color theme="1"/>
        <rFont val="Calibri"/>
        <family val="2"/>
        <scheme val="minor"/>
      </rPr>
      <t xml:space="preserve"> ( Valor a 2004 )</t>
    </r>
  </si>
  <si>
    <t>U$/m3</t>
  </si>
  <si>
    <t>Veces</t>
  </si>
  <si>
    <t>Km</t>
  </si>
  <si>
    <t>PSIG</t>
  </si>
  <si>
    <t>COSTO DE GAS PERDIDO EN TRANSPORTE</t>
  </si>
  <si>
    <t xml:space="preserve">Volumen promedio </t>
  </si>
  <si>
    <t>m3</t>
  </si>
  <si>
    <t>Costo transporte (Oct 2014)</t>
  </si>
  <si>
    <t>Pesos</t>
  </si>
  <si>
    <t>Pesos/dólar</t>
  </si>
  <si>
    <t>Costo Us para    8 Km</t>
  </si>
  <si>
    <t>pesos</t>
  </si>
  <si>
    <t>Costo distribucion (Oct 2014)</t>
  </si>
  <si>
    <t>BARRAS GUIAS (MENOR)</t>
  </si>
  <si>
    <t>BARRAS GUIAS (MAYOR)</t>
  </si>
  <si>
    <t>DOCUM  08-UC2.1-2014</t>
  </si>
  <si>
    <t>UNIDAD CONSTRUCTIVA DERIVACION UCADE 2.3-2</t>
  </si>
  <si>
    <t>UNIDAD CONSTRUCTIVA DERIVACION UCADE 2-1</t>
  </si>
  <si>
    <t>RANGO 1 DE 2" A  4"</t>
  </si>
  <si>
    <t>DOCUM  09-UC2.3-2-2014</t>
  </si>
  <si>
    <t xml:space="preserve">NOTA 4: EL VALOR ASUMIDO DE LA UNIDAD CONSTRUCTIVA DE DERIVACION SE TOMA DE UN PRIMEDIO ENTRE EL DIAMETRO MAYOR  Y EL DIAMETRO MENOS DE CADA DERIVACION </t>
  </si>
  <si>
    <t xml:space="preserve">NOTA3: EL DIAMETRO MAYOR  CORRESPONDE AL DE LA TUBERIA PRINCIPAL. DE ACUERDO AL RANGO </t>
  </si>
  <si>
    <t xml:space="preserve">NOTA 2: EL DIAMETRO MENOR CORRESPONDE AL DE LA TUBERIA PRINCIPAL AL RANGO. MINIMO EL DIAMETRO DE LA DERIVACION </t>
  </si>
  <si>
    <t>RANGO 2 DE  6 A 10"</t>
  </si>
  <si>
    <t>NOTA 1: LOS RANGOS DE LA TUBERIA PRINCIPAL SON:</t>
  </si>
  <si>
    <t>SUBTOTALES UCADE 2</t>
  </si>
  <si>
    <t xml:space="preserve">VERIFICACION DE ESPESOR DE TUBERIA </t>
  </si>
  <si>
    <t xml:space="preserve">DIAM MENOR </t>
  </si>
  <si>
    <t>SEGÚN. DIAM. TRONCAL</t>
  </si>
  <si>
    <t>LINEA PRINCIPAL</t>
  </si>
  <si>
    <t>DOCUM 07-UC2.1-2014</t>
  </si>
  <si>
    <t>BARRA GUIA</t>
  </si>
  <si>
    <t>DOCUM 10-UC-2.3-3-2014</t>
  </si>
  <si>
    <t>DOCUM 11-UC3-2014</t>
  </si>
  <si>
    <t>UNIDAD CONSTRUCTIVA DERIVACION UCADE 3 POLIETILENO</t>
  </si>
  <si>
    <t>ACCESORIOS DE DERIVACION POLIETILENO</t>
  </si>
  <si>
    <t>DOCUM 12-UCV-2014</t>
  </si>
  <si>
    <t>UNIDAD CONSTRUCTIVA DE VALVULA ACERO AL CARBON  UCVAL 1 Y UCVAL 2</t>
  </si>
  <si>
    <t>ARANCEL E INTERMEDIACION ADUANERA  (TABLA 12)</t>
  </si>
  <si>
    <t>ACTUADOR NEUMATICO (TABLA 12)</t>
  </si>
  <si>
    <t>CONEXIÓN Y CALIBRACION DE ACTUADOR (TABLA 12)</t>
  </si>
  <si>
    <t>SOLDADOR API</t>
  </si>
  <si>
    <t>SUPERVISOR</t>
  </si>
  <si>
    <t>SOLDADOR  API CALIFICADO</t>
  </si>
  <si>
    <t>OPERARIO EQUIPO PESADO</t>
  </si>
  <si>
    <t>CAMIONETA  4 X 4</t>
  </si>
  <si>
    <t>CAMION 350</t>
  </si>
  <si>
    <t>Se consideran varios rangos de horas para cada diametro, dos ayudantes por dia</t>
  </si>
  <si>
    <t>Duracion trabajos promedio (DTP =2 dias)</t>
  </si>
  <si>
    <t>DTP=3 dias</t>
  </si>
  <si>
    <t>DTP=4 dias</t>
  </si>
  <si>
    <t>DTP=5 dias</t>
  </si>
  <si>
    <t>OTROS GASTOS</t>
  </si>
  <si>
    <t>LIMPIEZA EN OBRA</t>
  </si>
  <si>
    <t>PINTURA EN OBRA</t>
  </si>
  <si>
    <t>STINGER</t>
  </si>
  <si>
    <t>SOLDADORA</t>
  </si>
  <si>
    <t>PLANTA ELECTRICA</t>
  </si>
  <si>
    <t>PULIDORA</t>
  </si>
  <si>
    <t>HERRAMIENTAS MENORES Y DE MANO</t>
  </si>
  <si>
    <t>EQUIPO DE PERFORACION</t>
  </si>
  <si>
    <t>TARIFA DIARIA EQUIPO</t>
  </si>
  <si>
    <t>T-110</t>
  </si>
  <si>
    <t>T-360</t>
  </si>
  <si>
    <t>T-660</t>
  </si>
  <si>
    <t>T-1200</t>
  </si>
  <si>
    <t>T-1201</t>
  </si>
  <si>
    <t>EQUIPO PERFORACION A UTILIZAR</t>
  </si>
  <si>
    <t xml:space="preserve">IMPREVISTOS </t>
  </si>
  <si>
    <t xml:space="preserve">UTILIDAD </t>
  </si>
  <si>
    <t>PLANEACION DE PROYECTOS</t>
  </si>
  <si>
    <t>PLANEACION DE PROYECYOS</t>
  </si>
  <si>
    <t>Subtotal  Planeacion de Proyectos</t>
  </si>
  <si>
    <t>COORDINADO DE DISEÑO</t>
  </si>
  <si>
    <t>IVA / UTILIDAD</t>
  </si>
  <si>
    <t>PLANEACION DE PROYECTO</t>
  </si>
  <si>
    <t>DOCUM 13-UCVAL2-2014</t>
  </si>
  <si>
    <t xml:space="preserve">UNIDAD CONSTRUCTIVA DE VALVULA ACERO AL CARBON  UCVAL 3 </t>
  </si>
  <si>
    <t>Subtotal  Otros Gastos</t>
  </si>
  <si>
    <t>ULTRASONIDO</t>
  </si>
  <si>
    <t>DISPONIBILIDAD DE EQUIPO Y PERSONAL</t>
  </si>
  <si>
    <t>Tomado de cotizacion CQA Ltada (Agosto 2014)</t>
  </si>
  <si>
    <t>Tomado de cotizacion CQA Ltada. (Agosto 2014).Afectado por (7) puntos de inspeccion por diametro</t>
  </si>
  <si>
    <t>Subtotal  Ultrasonido</t>
  </si>
  <si>
    <t>Subtotal  Tintas Penetrantes</t>
  </si>
  <si>
    <t>COSTO PRUEBA</t>
  </si>
  <si>
    <t>Tomado de cotizacion Sremcal (Octubre 2014)</t>
  </si>
  <si>
    <t>ESPESOR DE REVESTIMIENTO</t>
  </si>
  <si>
    <t>Subtotal  Revestimientos</t>
  </si>
  <si>
    <t>No. de Rollos de Wax Tape de 6"</t>
  </si>
  <si>
    <t>No. de Rollos de MC OUTERWRAP de 6"</t>
  </si>
  <si>
    <t>Galones Totales de Primer</t>
  </si>
  <si>
    <t>Recubrimiento de tuberia</t>
  </si>
  <si>
    <t>Recubrimiento de juntas</t>
  </si>
  <si>
    <t>Se consideraron 20 m de tuberia</t>
  </si>
  <si>
    <t>Se consideraron 8 juntas promedio</t>
  </si>
  <si>
    <t>Poly-Ply (Solo se usa con Wax-Tape #1)</t>
  </si>
  <si>
    <t>Recubrimiento de bridas</t>
  </si>
  <si>
    <t>No. De Rollos de Wax-Tape a Usar</t>
  </si>
  <si>
    <t>Se consideraron 2 bridas en la valvula</t>
  </si>
  <si>
    <t>RECUBRIMIENTO JUNTAS (8 UND)</t>
  </si>
  <si>
    <t>RECUBRIMIENTO BRIDAS (2 UND)</t>
  </si>
  <si>
    <t>COSTOS</t>
  </si>
  <si>
    <t>IMPREVISTOS</t>
  </si>
  <si>
    <t>UTILIDAD</t>
  </si>
  <si>
    <t>VR VALVULA DE BOLA CON VOLANTE</t>
  </si>
  <si>
    <t>COSTO VALVULA DE BOLA CON VOLANTE</t>
  </si>
  <si>
    <t>UNIDAD CONSTRUCTIVA DE VALVULA  UCVAL 1  - POLIVALVULAS</t>
  </si>
  <si>
    <t>DOCUM 14-UCEVAL1-2014</t>
  </si>
  <si>
    <t>DIÁMETRO DERIVACIÓN (in)</t>
  </si>
  <si>
    <t>Ø LINEA PRINCIPAL (in)</t>
  </si>
  <si>
    <t>OD Línea principal (in)</t>
  </si>
  <si>
    <t>Altura (m)</t>
  </si>
  <si>
    <t>Lado (m)</t>
  </si>
  <si>
    <t>Costo Tapa Metálica</t>
  </si>
  <si>
    <t>N.A</t>
  </si>
  <si>
    <r>
      <t>VOLUMEN DE EXCAVACIÓN PARA REGISTROS  (m</t>
    </r>
    <r>
      <rPr>
        <b/>
        <i/>
        <vertAlign val="superscript"/>
        <sz val="12"/>
        <color theme="3"/>
        <rFont val="Arial"/>
        <family val="2"/>
      </rPr>
      <t>3</t>
    </r>
    <r>
      <rPr>
        <b/>
        <i/>
        <sz val="12"/>
        <color theme="3"/>
        <rFont val="Arial"/>
        <family val="2"/>
      </rPr>
      <t>)</t>
    </r>
  </si>
  <si>
    <r>
      <t>VOLUMEN DE REGISTROS PARA HOT TAPS  (m</t>
    </r>
    <r>
      <rPr>
        <b/>
        <i/>
        <vertAlign val="superscript"/>
        <sz val="12"/>
        <rFont val="Arial"/>
        <family val="2"/>
      </rPr>
      <t>3</t>
    </r>
    <r>
      <rPr>
        <b/>
        <i/>
        <sz val="12"/>
        <rFont val="Arial"/>
        <family val="2"/>
      </rPr>
      <t>)</t>
    </r>
  </si>
  <si>
    <t>Área Piso (m2)</t>
  </si>
  <si>
    <t>Área Paredes (m2)</t>
  </si>
  <si>
    <t>V. Unitario</t>
  </si>
  <si>
    <t>Demonte manual</t>
  </si>
  <si>
    <t>Explanación General y Retiro</t>
  </si>
  <si>
    <t>Excavación de Zapatas a más de 2 m</t>
  </si>
  <si>
    <t>Piso de concreto e=10 300 psi</t>
  </si>
  <si>
    <t>Excavación  + 2m</t>
  </si>
  <si>
    <t>Zapata concreto  3.000 psi</t>
  </si>
  <si>
    <t>Impermeabilización</t>
  </si>
  <si>
    <t>Acero de refuerzo 60.000 psi/ton</t>
  </si>
  <si>
    <t>Limpieza general y retiro de sobrantes</t>
  </si>
  <si>
    <t>Levante en bloque de cemento 20x20x40</t>
  </si>
  <si>
    <t>Pintura y Acabado</t>
  </si>
  <si>
    <t>m2 preparación de terreno</t>
  </si>
  <si>
    <t>m2 de varios</t>
  </si>
  <si>
    <r>
      <t>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excavación</t>
    </r>
  </si>
  <si>
    <r>
      <t>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construcción</t>
    </r>
  </si>
  <si>
    <t>13.</t>
  </si>
  <si>
    <t>TOPOGRAFO</t>
  </si>
  <si>
    <t>Subtotal  Mano de obra en campo</t>
  </si>
  <si>
    <t>Tomado de cotizacion puntos de salida actualizados a febrero de 2014</t>
  </si>
  <si>
    <t>Tomado presupuesto puntos de salida actualizados a febrero 2014  (valor servicio dia = $1,269,967)</t>
  </si>
  <si>
    <t>Tomado presupuesto puntos de salida actualizados febrero de 2014 (valor servicio dia= $385.348)</t>
  </si>
  <si>
    <t>Base de calculo galon combustible $8500 consumo promedio vehiculos=12km/galon, Rango de covertura =100 km/dia</t>
  </si>
  <si>
    <t>EQUIPOS MENORES Y HERRAMIENTAS DE MANO</t>
  </si>
  <si>
    <t>Subtotal  Equipos Menores y herr. de mano</t>
  </si>
  <si>
    <t>Subtotal  Equipos de perforacion</t>
  </si>
  <si>
    <t>Valores actualizados a  febrero de 2014</t>
  </si>
  <si>
    <t xml:space="preserve">Tomado presupuesto puntos de salida actualizado a febreo 2014 (valor global = $250,000) </t>
  </si>
  <si>
    <t xml:space="preserve">Tomado presupuesto puntos de salida actualizado a febreo 2014 (valor global = $100,000) </t>
  </si>
  <si>
    <t>TRANSPORTE DE EQUIPOS Y HTAS</t>
  </si>
  <si>
    <t>Subtotal  Transporte Equipos y htas</t>
  </si>
  <si>
    <t>SUB TOTAL SERVICIOS DE PERFORACION</t>
  </si>
  <si>
    <t>Valores actualizados a 2014</t>
  </si>
  <si>
    <r>
      <t>IPC</t>
    </r>
    <r>
      <rPr>
        <sz val="8"/>
        <color rgb="FF002060"/>
        <rFont val="Calibri"/>
        <family val="2"/>
        <scheme val="minor"/>
      </rPr>
      <t xml:space="preserve"> m</t>
    </r>
  </si>
  <si>
    <t>Valor dia</t>
  </si>
  <si>
    <t>OPERARIO MAQUINARIA</t>
  </si>
  <si>
    <t xml:space="preserve">Valor tasa de cambio del ejercicio 2004 = </t>
  </si>
  <si>
    <t xml:space="preserve">Valor tasa de cambio del ejercicio 2014 = </t>
  </si>
  <si>
    <t>Relacion de variacion en tasa de cambio=</t>
  </si>
  <si>
    <t>Costo m3 ejercicio 2004=</t>
  </si>
  <si>
    <t>us$/m3</t>
  </si>
  <si>
    <t>Costo m3 ejercicio 2014=</t>
  </si>
  <si>
    <t>VIATICOS  (Personal para polietileno)</t>
  </si>
  <si>
    <t>Subtotal  Viaticos</t>
  </si>
  <si>
    <t>MANO DE OBRA PREFABRICACION</t>
  </si>
  <si>
    <t>Subtotal  Mano de obra Prefabricacion</t>
  </si>
  <si>
    <t>44350 por metro</t>
  </si>
  <si>
    <t>48895 por metro</t>
  </si>
  <si>
    <t xml:space="preserve">TOTALES UCADE 1.1 (CON HOT TAP) </t>
  </si>
  <si>
    <t>RECUBRIMIENTO TUBERIA  HASTA 4 m.l</t>
  </si>
  <si>
    <t>TOTALES UCADE 3 CON IVA</t>
  </si>
  <si>
    <t>TOTAL UCADE 2.1 (CON HOT TAP) CON IVA</t>
  </si>
  <si>
    <t>TOTAL UCADE 2.2 (CON COLD TAP) CON IVA</t>
  </si>
  <si>
    <t>TOTALES UCADE 2.1 (CON HOT TAP) CON IVA</t>
  </si>
  <si>
    <t>TOTALES UCADE 2.2 (CON COLD TAP) CON IVA</t>
  </si>
  <si>
    <t>Tomado de Puntos de salida cotizacion de mercado actualizada ene 2014</t>
  </si>
  <si>
    <t>Tomado de valores Itansuca dic 2004 tabla"Ejecucion de la derivacion (TAP)</t>
  </si>
  <si>
    <t>Dollar septiembre 2014</t>
  </si>
  <si>
    <t>Ucm (valor llevados de 2004 a 2014)</t>
  </si>
  <si>
    <t>Tomado de cotizacion febreo 2014, valor unidad / dia</t>
  </si>
  <si>
    <t>Se considera un gasto anual de papeleria de $4,000,000</t>
  </si>
  <si>
    <t>se considera valor de software especializado ($8,000,000) al año</t>
  </si>
  <si>
    <t>Se considera una ocupacion promedio de 5 dias de trabajo</t>
  </si>
  <si>
    <t>valor actualizado a 2014</t>
  </si>
  <si>
    <t>valor documento ITANSUCA 2004</t>
  </si>
  <si>
    <t>Tomado de valores enviados en presentacion Hot Tap. (actualizados a 2014)</t>
  </si>
  <si>
    <t>Valores actualizados a 2014 Cotizacion CON</t>
  </si>
  <si>
    <t>Tomado de tabla ensayos no destructivos precios actualizados a 2014</t>
  </si>
  <si>
    <t xml:space="preserve">Calculado con base en H-H y duracion de los trabajos (valores actualizados a 2014) </t>
  </si>
  <si>
    <t>Tomado de tabla ensayos no destructivos precios actualizados a 2014 (Para efectos del ejercicio se considera 1/3 del valor real de la prueba, dado que hay tres pruebas similares que no se aplican al mismo tiempo).</t>
  </si>
  <si>
    <t>Tomado de cotizacion Sremcal  (Para efectos del ejercicio se considera 1/3 del valor real de la prueba, dado que hay tres pruebas similares que no se aplican al mismo tiempo).</t>
  </si>
  <si>
    <t>FECHA DE REVISION:  NOVIEMBRE 16 DE 2014</t>
  </si>
  <si>
    <t>REVISION No: 1</t>
  </si>
  <si>
    <t>REV 01</t>
  </si>
  <si>
    <t>TRANSPORTE (Este valor no incluye el costo del camion, se considera solo camioneta)</t>
  </si>
  <si>
    <t>REV01</t>
  </si>
  <si>
    <t>BY PASS (UCEVAL 3)</t>
  </si>
  <si>
    <t>POLIVALVULA</t>
  </si>
  <si>
    <t>SERVIDUMBRE Y TIERRAS</t>
  </si>
  <si>
    <t>REPLANTEO</t>
  </si>
  <si>
    <t>DEMOLICIONES</t>
  </si>
  <si>
    <t>EXCAVACION A MANO</t>
  </si>
  <si>
    <t>EXCAVACION MECANICA</t>
  </si>
  <si>
    <t>MANPOSTERIA</t>
  </si>
  <si>
    <t>PROCTOR MODIFICADO</t>
  </si>
  <si>
    <t>CILINDRO DE CONCRETO</t>
  </si>
  <si>
    <t>HERMITICIDAD</t>
  </si>
  <si>
    <t>REPARACION DE REVESTIMIENTOS</t>
  </si>
  <si>
    <t>DOCUM 15-UCCIN 1-2-2014</t>
  </si>
  <si>
    <t>UCVAL1.1</t>
  </si>
  <si>
    <t>UCCIN2</t>
  </si>
  <si>
    <t xml:space="preserve">Duracion trabajos dias  promedio </t>
  </si>
  <si>
    <t>Duracion trabajos perforacion  (DTP =1 dias)</t>
  </si>
  <si>
    <t>DTP=1 dias</t>
  </si>
  <si>
    <t>ALIMENTACION (Personal Hot Tap= 2 personas)</t>
  </si>
  <si>
    <t>ALOJAMIENTO  (Personal Hot Tap = 2 Personas)</t>
  </si>
  <si>
    <t>DTP=1dias</t>
  </si>
  <si>
    <t>Tomado presupuesto puntos de salida actualizado a febreo 2014 (valor = $1,332.000/dia) para la cuadrilla (8 personas)</t>
  </si>
  <si>
    <t>Hace referencia a los costos de alimentacion y alojamiento del personal que realiza el Cold Tap (Tomado para 4 Personas), el valor proviene de los valores consignados en el cuadro otros gastos</t>
  </si>
  <si>
    <t>Tomado presupuesto puntos de salida actualizado a febreo 2014 (valor = $200.000/dia) para la cuadrilla (8 personas)</t>
  </si>
  <si>
    <t>Se considera una ocupacion promedio de 2 dias de trabajo</t>
  </si>
  <si>
    <t>Se considera una ocupacion promedio de 1 dias de trabajo</t>
  </si>
  <si>
    <t>REV 02</t>
  </si>
  <si>
    <t>TOTAL UCADE 2.2 (CON COLD TAP)  CON IVA</t>
  </si>
  <si>
    <t>TOTAL UCCIN 1 CON IVA</t>
  </si>
  <si>
    <t>TOTAL UCCIN 2 CON IVA</t>
  </si>
  <si>
    <t>TRANSPORTE (Mensajeria)</t>
  </si>
  <si>
    <t>TRANSPORTE MENSAJERIA ADMON</t>
  </si>
  <si>
    <t>VALOR MODIFICADO 18 11 2014</t>
  </si>
  <si>
    <t>TRANSPORTE (Se incluye el costo del camion)</t>
  </si>
  <si>
    <t>TOTAL UCVAL  1 (2/2)</t>
  </si>
  <si>
    <t>TOTAL UCVAL 2 (2/2)</t>
  </si>
  <si>
    <t>TOTAL UCVAL  1 (1/2) CON IVA</t>
  </si>
  <si>
    <t>TOTAL UCVAL 2 (1/2) CON IVA</t>
  </si>
  <si>
    <t>TRANSPORTE (No se considera el uso del camion para los diametros de 2" a 4")</t>
  </si>
  <si>
    <t>FACTOR DE AJUSTE</t>
  </si>
  <si>
    <t>Impuestos</t>
  </si>
  <si>
    <t>Factores Multiplicadores</t>
  </si>
  <si>
    <t>Planeacion de Proyectos</t>
  </si>
  <si>
    <t>Reparacion revestimiento exis</t>
  </si>
  <si>
    <t>split tee</t>
  </si>
  <si>
    <t>cold tap</t>
  </si>
  <si>
    <t>coltap de   6</t>
  </si>
  <si>
    <t>coltap de   4</t>
  </si>
  <si>
    <t>coltap de   10</t>
  </si>
  <si>
    <t xml:space="preserve">coltap de  8 </t>
  </si>
  <si>
    <t>split tee 8</t>
  </si>
  <si>
    <t>split tee 6</t>
  </si>
  <si>
    <t xml:space="preserve">hot tap </t>
  </si>
  <si>
    <t>hot tap 12-14-16</t>
  </si>
  <si>
    <t>cold tap 12</t>
  </si>
  <si>
    <t>cold tap 14</t>
  </si>
  <si>
    <t>hot tap 6</t>
  </si>
  <si>
    <t>hot tap 8</t>
  </si>
  <si>
    <t>hot tap 10</t>
  </si>
  <si>
    <t>hot tap 14</t>
  </si>
  <si>
    <t>hot tap 16</t>
  </si>
  <si>
    <t>hot tap 12</t>
  </si>
  <si>
    <t>cold tap 6</t>
  </si>
  <si>
    <t>cold tap 8</t>
  </si>
  <si>
    <t>cold tap 10</t>
  </si>
  <si>
    <t>TRANSPORTE (ACARREO DE MATERIALES)</t>
  </si>
  <si>
    <t>IMPUESTOS</t>
  </si>
</sst>
</file>

<file path=xl/styles.xml><?xml version="1.0" encoding="utf-8"?>
<styleSheet xmlns="http://schemas.openxmlformats.org/spreadsheetml/2006/main">
  <numFmts count="11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0.000"/>
    <numFmt numFmtId="166" formatCode="_(&quot;$&quot;\ * #,##0.0_);_(&quot;$&quot;\ * \(#,##0.0\);_(&quot;$&quot;\ * &quot;-&quot;_);_(@_)"/>
    <numFmt numFmtId="167" formatCode="_(&quot;$&quot;\ * #,##0.00_);_(&quot;$&quot;\ * \(#,##0.00\);_(&quot;$&quot;\ * &quot;-&quot;_);_(@_)"/>
    <numFmt numFmtId="168" formatCode="[$$-2C0A]#,##0"/>
    <numFmt numFmtId="169" formatCode="[$$-2C0A]\ #,##0"/>
    <numFmt numFmtId="170" formatCode="_(&quot;$&quot;\ * #,##0.000_);_(&quot;$&quot;\ * \(#,##0.000\);_(&quot;$&quot;\ * &quot;-&quot;??_);_(@_)"/>
    <numFmt numFmtId="171" formatCode="0.0000"/>
    <numFmt numFmtId="172" formatCode="#,##0.0000_);\(#,##0.0000\)"/>
  </numFmts>
  <fonts count="5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0"/>
      <name val="Bauhaus 93"/>
      <family val="5"/>
    </font>
    <font>
      <b/>
      <sz val="14"/>
      <color theme="3"/>
      <name val="Arial"/>
      <family val="2"/>
    </font>
    <font>
      <sz val="1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Arial"/>
      <family val="2"/>
    </font>
    <font>
      <b/>
      <sz val="14"/>
      <color rgb="FF002060"/>
      <name val="Arial"/>
      <family val="2"/>
    </font>
    <font>
      <sz val="10"/>
      <color theme="0"/>
      <name val="Bauhaus 93"/>
      <family val="5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002060"/>
      <name val="Arial"/>
      <family val="2"/>
    </font>
    <font>
      <sz val="8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Times New Roman"/>
      <family val="1"/>
    </font>
    <font>
      <b/>
      <sz val="14"/>
      <color theme="3"/>
      <name val="Calibri"/>
      <family val="2"/>
      <scheme val="minor"/>
    </font>
    <font>
      <b/>
      <i/>
      <sz val="12"/>
      <name val="Arial"/>
      <family val="2"/>
    </font>
    <font>
      <b/>
      <i/>
      <vertAlign val="superscript"/>
      <sz val="12"/>
      <name val="Arial"/>
      <family val="2"/>
    </font>
    <font>
      <b/>
      <sz val="9"/>
      <name val="Arial"/>
      <family val="2"/>
    </font>
    <font>
      <b/>
      <sz val="8"/>
      <color theme="3"/>
      <name val="Arial"/>
      <family val="2"/>
    </font>
    <font>
      <b/>
      <sz val="9"/>
      <color theme="3"/>
      <name val="Arial"/>
      <family val="2"/>
    </font>
    <font>
      <b/>
      <i/>
      <sz val="12"/>
      <color theme="3"/>
      <name val="Arial"/>
      <family val="2"/>
    </font>
    <font>
      <b/>
      <i/>
      <vertAlign val="superscript"/>
      <sz val="12"/>
      <color theme="3"/>
      <name val="Arial"/>
      <family val="2"/>
    </font>
    <font>
      <sz val="9"/>
      <color theme="3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14"/>
      <color theme="0"/>
      <name val="Calibri"/>
      <family val="2"/>
      <scheme val="minor"/>
    </font>
    <font>
      <sz val="8"/>
      <color rgb="FF002060"/>
      <name val="Calibri"/>
      <family val="2"/>
      <scheme val="minor"/>
    </font>
    <font>
      <sz val="12"/>
      <name val="Times New Roman"/>
      <family val="1"/>
    </font>
    <font>
      <sz val="1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darkUp">
        <fgColor auto="1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3CC33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4" fillId="0" borderId="0"/>
    <xf numFmtId="0" fontId="54" fillId="0" borderId="0"/>
  </cellStyleXfs>
  <cellXfs count="160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2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/>
    <xf numFmtId="42" fontId="0" fillId="0" borderId="10" xfId="0" applyNumberFormat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0" xfId="0" applyAlignment="1">
      <alignment horizontal="center"/>
    </xf>
    <xf numFmtId="42" fontId="0" fillId="0" borderId="0" xfId="0" applyNumberFormat="1"/>
    <xf numFmtId="0" fontId="0" fillId="0" borderId="0" xfId="0" applyAlignment="1">
      <alignment horizontal="center"/>
    </xf>
    <xf numFmtId="42" fontId="0" fillId="0" borderId="20" xfId="0" applyNumberFormat="1" applyBorder="1"/>
    <xf numFmtId="42" fontId="0" fillId="0" borderId="22" xfId="0" applyNumberFormat="1" applyBorder="1"/>
    <xf numFmtId="42" fontId="0" fillId="0" borderId="25" xfId="0" applyNumberFormat="1" applyBorder="1"/>
    <xf numFmtId="0" fontId="0" fillId="3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6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4" xfId="0" applyBorder="1"/>
    <xf numFmtId="0" fontId="0" fillId="0" borderId="5" xfId="0" applyBorder="1"/>
    <xf numFmtId="0" fontId="0" fillId="0" borderId="15" xfId="0" applyBorder="1"/>
    <xf numFmtId="0" fontId="0" fillId="0" borderId="14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16" borderId="1" xfId="0" applyFill="1" applyBorder="1"/>
    <xf numFmtId="164" fontId="0" fillId="16" borderId="1" xfId="0" applyNumberFormat="1" applyFill="1" applyBorder="1"/>
    <xf numFmtId="0" fontId="0" fillId="0" borderId="1" xfId="0" applyFill="1" applyBorder="1"/>
    <xf numFmtId="10" fontId="0" fillId="0" borderId="1" xfId="2" applyNumberFormat="1" applyFont="1" applyBorder="1"/>
    <xf numFmtId="0" fontId="0" fillId="0" borderId="0" xfId="0" applyAlignment="1">
      <alignment horizontal="center" vertical="center"/>
    </xf>
    <xf numFmtId="164" fontId="0" fillId="0" borderId="1" xfId="1" applyNumberFormat="1" applyFont="1" applyFill="1" applyBorder="1"/>
    <xf numFmtId="0" fontId="1" fillId="15" borderId="8" xfId="0" applyFont="1" applyFill="1" applyBorder="1" applyAlignment="1">
      <alignment horizontal="center"/>
    </xf>
    <xf numFmtId="0" fontId="1" fillId="1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16" borderId="1" xfId="0" applyFill="1" applyBorder="1" applyAlignment="1">
      <alignment vertical="center" wrapText="1"/>
    </xf>
    <xf numFmtId="164" fontId="0" fillId="16" borderId="1" xfId="0" applyNumberFormat="1" applyFill="1" applyBorder="1" applyAlignment="1">
      <alignment vertical="center"/>
    </xf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6" xfId="0" applyBorder="1"/>
    <xf numFmtId="164" fontId="0" fillId="0" borderId="1" xfId="1" applyNumberFormat="1" applyFont="1" applyBorder="1"/>
    <xf numFmtId="0" fontId="0" fillId="0" borderId="56" xfId="0" applyBorder="1"/>
    <xf numFmtId="0" fontId="0" fillId="0" borderId="58" xfId="0" applyBorder="1"/>
    <xf numFmtId="164" fontId="16" fillId="0" borderId="1" xfId="1" applyNumberFormat="1" applyFont="1" applyBorder="1"/>
    <xf numFmtId="0" fontId="16" fillId="0" borderId="16" xfId="0" applyFont="1" applyBorder="1"/>
    <xf numFmtId="164" fontId="16" fillId="0" borderId="1" xfId="1" applyNumberFormat="1" applyFont="1" applyBorder="1" applyAlignment="1">
      <alignment horizontal="left" vertical="center"/>
    </xf>
    <xf numFmtId="164" fontId="3" fillId="17" borderId="24" xfId="0" applyNumberFormat="1" applyFont="1" applyFill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16" xfId="0" applyFont="1" applyBorder="1"/>
    <xf numFmtId="0" fontId="16" fillId="0" borderId="9" xfId="0" applyFont="1" applyBorder="1"/>
    <xf numFmtId="0" fontId="4" fillId="0" borderId="5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6" fillId="0" borderId="55" xfId="0" applyFont="1" applyBorder="1"/>
    <xf numFmtId="0" fontId="4" fillId="0" borderId="40" xfId="0" applyFont="1" applyBorder="1" applyAlignment="1">
      <alignment horizontal="center" vertical="center"/>
    </xf>
    <xf numFmtId="0" fontId="4" fillId="0" borderId="2" xfId="0" applyFont="1" applyBorder="1"/>
    <xf numFmtId="0" fontId="16" fillId="0" borderId="2" xfId="0" applyFont="1" applyBorder="1"/>
    <xf numFmtId="0" fontId="4" fillId="16" borderId="1" xfId="0" applyFont="1" applyFill="1" applyBorder="1" applyAlignment="1">
      <alignment horizontal="center" vertical="center"/>
    </xf>
    <xf numFmtId="0" fontId="4" fillId="16" borderId="24" xfId="0" applyFont="1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" xfId="0" applyBorder="1" applyAlignment="1">
      <alignment vertical="center"/>
    </xf>
    <xf numFmtId="0" fontId="17" fillId="18" borderId="25" xfId="0" applyFont="1" applyFill="1" applyBorder="1" applyAlignment="1"/>
    <xf numFmtId="0" fontId="17" fillId="18" borderId="1" xfId="0" applyFont="1" applyFill="1" applyBorder="1" applyAlignment="1"/>
    <xf numFmtId="0" fontId="2" fillId="16" borderId="20" xfId="0" applyFont="1" applyFill="1" applyBorder="1" applyAlignment="1">
      <alignment horizontal="center" vertical="center" wrapText="1"/>
    </xf>
    <xf numFmtId="0" fontId="2" fillId="16" borderId="19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24" xfId="0" applyBorder="1" applyAlignment="1"/>
    <xf numFmtId="0" fontId="17" fillId="18" borderId="24" xfId="0" applyFont="1" applyFill="1" applyBorder="1" applyAlignment="1"/>
    <xf numFmtId="0" fontId="0" fillId="16" borderId="20" xfId="0" applyFill="1" applyBorder="1" applyAlignment="1">
      <alignment horizontal="center" vertical="center" wrapText="1"/>
    </xf>
    <xf numFmtId="0" fontId="0" fillId="16" borderId="19" xfId="0" applyFill="1" applyBorder="1" applyAlignment="1">
      <alignment horizontal="center" vertical="center" wrapText="1"/>
    </xf>
    <xf numFmtId="0" fontId="19" fillId="0" borderId="0" xfId="0" applyFont="1"/>
    <xf numFmtId="0" fontId="0" fillId="16" borderId="1" xfId="0" applyFill="1" applyBorder="1" applyAlignment="1">
      <alignment horizontal="center" vertical="center" wrapText="1"/>
    </xf>
    <xf numFmtId="0" fontId="0" fillId="16" borderId="18" xfId="0" applyFill="1" applyBorder="1" applyAlignment="1">
      <alignment horizontal="center" vertical="center"/>
    </xf>
    <xf numFmtId="0" fontId="0" fillId="16" borderId="19" xfId="0" applyFill="1" applyBorder="1" applyAlignment="1">
      <alignment horizontal="center" vertical="center"/>
    </xf>
    <xf numFmtId="0" fontId="0" fillId="16" borderId="43" xfId="0" applyFill="1" applyBorder="1" applyAlignment="1">
      <alignment horizontal="center" vertical="center"/>
    </xf>
    <xf numFmtId="0" fontId="0" fillId="16" borderId="2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0" fillId="0" borderId="8" xfId="0" applyBorder="1" applyAlignment="1"/>
    <xf numFmtId="0" fontId="0" fillId="0" borderId="9" xfId="0" applyBorder="1" applyAlignment="1"/>
    <xf numFmtId="0" fontId="1" fillId="16" borderId="1" xfId="0" applyFont="1" applyFill="1" applyBorder="1" applyAlignment="1">
      <alignment horizontal="center"/>
    </xf>
    <xf numFmtId="0" fontId="0" fillId="16" borderId="10" xfId="0" applyFill="1" applyBorder="1" applyAlignment="1">
      <alignment horizontal="center"/>
    </xf>
    <xf numFmtId="42" fontId="0" fillId="0" borderId="20" xfId="0" applyNumberFormat="1" applyBorder="1" applyAlignment="1">
      <alignment horizontal="center"/>
    </xf>
    <xf numFmtId="42" fontId="0" fillId="0" borderId="22" xfId="0" applyNumberFormat="1" applyBorder="1" applyAlignment="1">
      <alignment horizontal="center"/>
    </xf>
    <xf numFmtId="42" fontId="16" fillId="0" borderId="1" xfId="0" applyNumberFormat="1" applyFont="1" applyBorder="1"/>
    <xf numFmtId="42" fontId="16" fillId="0" borderId="22" xfId="0" applyNumberFormat="1" applyFont="1" applyBorder="1"/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0" fontId="0" fillId="0" borderId="2" xfId="0" applyFont="1" applyBorder="1" applyAlignment="1"/>
    <xf numFmtId="0" fontId="0" fillId="0" borderId="0" xfId="0" applyFill="1" applyBorder="1"/>
    <xf numFmtId="0" fontId="1" fillId="16" borderId="1" xfId="0" applyFont="1" applyFill="1" applyBorder="1" applyAlignment="1">
      <alignment horizontal="center" vertical="center"/>
    </xf>
    <xf numFmtId="164" fontId="3" fillId="17" borderId="70" xfId="0" applyNumberFormat="1" applyFont="1" applyFill="1" applyBorder="1" applyAlignment="1">
      <alignment vertical="center"/>
    </xf>
    <xf numFmtId="0" fontId="4" fillId="16" borderId="44" xfId="0" applyFont="1" applyFill="1" applyBorder="1" applyAlignment="1">
      <alignment horizontal="center" vertical="center"/>
    </xf>
    <xf numFmtId="164" fontId="16" fillId="0" borderId="8" xfId="1" applyNumberFormat="1" applyFont="1" applyBorder="1"/>
    <xf numFmtId="164" fontId="16" fillId="0" borderId="8" xfId="1" applyNumberFormat="1" applyFont="1" applyBorder="1" applyAlignment="1">
      <alignment horizontal="left" vertical="center"/>
    </xf>
    <xf numFmtId="0" fontId="16" fillId="0" borderId="1" xfId="0" applyFont="1" applyBorder="1"/>
    <xf numFmtId="0" fontId="0" fillId="0" borderId="55" xfId="0" applyBorder="1"/>
    <xf numFmtId="164" fontId="16" fillId="0" borderId="1" xfId="1" applyNumberFormat="1" applyFont="1" applyBorder="1" applyAlignment="1">
      <alignment vertical="center"/>
    </xf>
    <xf numFmtId="0" fontId="16" fillId="0" borderId="9" xfId="0" applyFont="1" applyBorder="1" applyAlignment="1">
      <alignment wrapText="1"/>
    </xf>
    <xf numFmtId="164" fontId="16" fillId="0" borderId="8" xfId="1" applyNumberFormat="1" applyFont="1" applyBorder="1" applyAlignment="1"/>
    <xf numFmtId="164" fontId="16" fillId="0" borderId="1" xfId="1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/>
    <xf numFmtId="0" fontId="0" fillId="0" borderId="24" xfId="0" applyFill="1" applyBorder="1"/>
    <xf numFmtId="164" fontId="16" fillId="0" borderId="10" xfId="1" applyNumberFormat="1" applyFont="1" applyBorder="1" applyAlignment="1">
      <alignment vertical="center"/>
    </xf>
    <xf numFmtId="164" fontId="0" fillId="6" borderId="1" xfId="1" applyNumberFormat="1" applyFont="1" applyFill="1" applyBorder="1"/>
    <xf numFmtId="167" fontId="0" fillId="0" borderId="24" xfId="0" applyNumberFormat="1" applyBorder="1"/>
    <xf numFmtId="166" fontId="0" fillId="0" borderId="25" xfId="0" applyNumberFormat="1" applyBorder="1" applyAlignment="1">
      <alignment horizontal="center"/>
    </xf>
    <xf numFmtId="167" fontId="0" fillId="0" borderId="1" xfId="0" applyNumberForma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7" fontId="0" fillId="0" borderId="19" xfId="0" applyNumberFormat="1" applyBorder="1"/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0" fontId="0" fillId="16" borderId="34" xfId="0" applyFill="1" applyBorder="1" applyAlignment="1">
      <alignment horizontal="center" vertical="center" wrapText="1"/>
    </xf>
    <xf numFmtId="0" fontId="0" fillId="16" borderId="35" xfId="0" applyFill="1" applyBorder="1" applyAlignment="1">
      <alignment horizontal="center" vertical="center" wrapText="1"/>
    </xf>
    <xf numFmtId="0" fontId="0" fillId="16" borderId="36" xfId="0" applyFill="1" applyBorder="1" applyAlignment="1">
      <alignment horizontal="center" vertical="center" wrapText="1"/>
    </xf>
    <xf numFmtId="44" fontId="0" fillId="0" borderId="1" xfId="1" applyFont="1" applyFill="1" applyBorder="1"/>
    <xf numFmtId="0" fontId="0" fillId="0" borderId="8" xfId="0" applyFill="1" applyBorder="1"/>
    <xf numFmtId="167" fontId="0" fillId="0" borderId="1" xfId="0" applyNumberFormat="1" applyBorder="1" applyAlignment="1">
      <alignment horizontal="center"/>
    </xf>
    <xf numFmtId="0" fontId="0" fillId="0" borderId="18" xfId="0" applyFill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1" fillId="16" borderId="39" xfId="0" applyFont="1" applyFill="1" applyBorder="1" applyAlignment="1">
      <alignment horizontal="center"/>
    </xf>
    <xf numFmtId="0" fontId="1" fillId="16" borderId="38" xfId="0" applyFont="1" applyFill="1" applyBorder="1" applyAlignment="1">
      <alignment horizontal="center"/>
    </xf>
    <xf numFmtId="0" fontId="1" fillId="16" borderId="28" xfId="0" applyFont="1" applyFill="1" applyBorder="1" applyAlignment="1">
      <alignment horizontal="center"/>
    </xf>
    <xf numFmtId="44" fontId="0" fillId="0" borderId="0" xfId="0" applyNumberFormat="1"/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167" fontId="0" fillId="0" borderId="78" xfId="0" applyNumberFormat="1" applyBorder="1" applyAlignment="1">
      <alignment horizontal="center"/>
    </xf>
    <xf numFmtId="42" fontId="0" fillId="0" borderId="79" xfId="0" applyNumberFormat="1" applyBorder="1" applyAlignment="1">
      <alignment horizontal="center"/>
    </xf>
    <xf numFmtId="0" fontId="0" fillId="0" borderId="3" xfId="0" applyBorder="1"/>
    <xf numFmtId="42" fontId="16" fillId="0" borderId="9" xfId="0" applyNumberFormat="1" applyFont="1" applyBorder="1"/>
    <xf numFmtId="164" fontId="16" fillId="20" borderId="1" xfId="0" applyNumberFormat="1" applyFont="1" applyFill="1" applyBorder="1"/>
    <xf numFmtId="44" fontId="16" fillId="20" borderId="1" xfId="0" applyNumberFormat="1" applyFont="1" applyFill="1" applyBorder="1"/>
    <xf numFmtId="0" fontId="4" fillId="0" borderId="1" xfId="0" applyFont="1" applyBorder="1" applyAlignment="1"/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0" fillId="4" borderId="0" xfId="0" applyFill="1"/>
    <xf numFmtId="0" fontId="0" fillId="0" borderId="0" xfId="0" applyAlignment="1">
      <alignment vertical="center" wrapText="1"/>
    </xf>
    <xf numFmtId="42" fontId="0" fillId="0" borderId="20" xfId="0" applyNumberFormat="1" applyFill="1" applyBorder="1"/>
    <xf numFmtId="0" fontId="0" fillId="12" borderId="36" xfId="0" applyFill="1" applyBorder="1"/>
    <xf numFmtId="42" fontId="27" fillId="0" borderId="1" xfId="0" applyNumberFormat="1" applyFont="1" applyBorder="1"/>
    <xf numFmtId="42" fontId="27" fillId="0" borderId="22" xfId="0" applyNumberFormat="1" applyFont="1" applyBorder="1"/>
    <xf numFmtId="42" fontId="27" fillId="0" borderId="1" xfId="0" applyNumberFormat="1" applyFont="1" applyFill="1" applyBorder="1"/>
    <xf numFmtId="42" fontId="27" fillId="0" borderId="22" xfId="0" applyNumberFormat="1" applyFont="1" applyFill="1" applyBorder="1"/>
    <xf numFmtId="0" fontId="27" fillId="0" borderId="8" xfId="0" applyFont="1" applyBorder="1" applyAlignment="1"/>
    <xf numFmtId="0" fontId="0" fillId="12" borderId="34" xfId="0" applyFill="1" applyBorder="1"/>
    <xf numFmtId="42" fontId="0" fillId="0" borderId="18" xfId="0" applyNumberFormat="1" applyBorder="1"/>
    <xf numFmtId="42" fontId="0" fillId="0" borderId="21" xfId="0" applyNumberFormat="1" applyBorder="1"/>
    <xf numFmtId="42" fontId="16" fillId="0" borderId="21" xfId="0" applyNumberFormat="1" applyFont="1" applyBorder="1"/>
    <xf numFmtId="42" fontId="0" fillId="0" borderId="23" xfId="0" applyNumberFormat="1" applyBorder="1"/>
    <xf numFmtId="42" fontId="0" fillId="0" borderId="18" xfId="0" applyNumberFormat="1" applyFill="1" applyBorder="1"/>
    <xf numFmtId="42" fontId="16" fillId="0" borderId="23" xfId="0" applyNumberFormat="1" applyFont="1" applyBorder="1"/>
    <xf numFmtId="42" fontId="27" fillId="0" borderId="21" xfId="0" applyNumberFormat="1" applyFont="1" applyBorder="1"/>
    <xf numFmtId="164" fontId="27" fillId="0" borderId="1" xfId="1" applyNumberFormat="1" applyFont="1" applyBorder="1"/>
    <xf numFmtId="164" fontId="27" fillId="9" borderId="1" xfId="0" applyNumberFormat="1" applyFont="1" applyFill="1" applyBorder="1"/>
    <xf numFmtId="0" fontId="27" fillId="0" borderId="56" xfId="0" applyFont="1" applyBorder="1"/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0" fontId="28" fillId="0" borderId="1" xfId="0" applyFont="1" applyBorder="1" applyAlignment="1"/>
    <xf numFmtId="164" fontId="27" fillId="0" borderId="13" xfId="0" applyNumberFormat="1" applyFont="1" applyBorder="1"/>
    <xf numFmtId="42" fontId="27" fillId="10" borderId="1" xfId="0" applyNumberFormat="1" applyFont="1" applyFill="1" applyBorder="1"/>
    <xf numFmtId="42" fontId="27" fillId="0" borderId="9" xfId="0" applyNumberFormat="1" applyFont="1" applyBorder="1"/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42" fontId="27" fillId="10" borderId="22" xfId="0" applyNumberFormat="1" applyFont="1" applyFill="1" applyBorder="1"/>
    <xf numFmtId="42" fontId="27" fillId="0" borderId="0" xfId="0" applyNumberFormat="1" applyFont="1" applyBorder="1"/>
    <xf numFmtId="42" fontId="27" fillId="0" borderId="58" xfId="0" applyNumberFormat="1" applyFont="1" applyBorder="1"/>
    <xf numFmtId="0" fontId="27" fillId="9" borderId="1" xfId="0" applyFont="1" applyFill="1" applyBorder="1"/>
    <xf numFmtId="0" fontId="27" fillId="0" borderId="1" xfId="0" applyFont="1" applyBorder="1"/>
    <xf numFmtId="164" fontId="28" fillId="9" borderId="1" xfId="0" applyNumberFormat="1" applyFont="1" applyFill="1" applyBorder="1"/>
    <xf numFmtId="164" fontId="27" fillId="0" borderId="1" xfId="0" applyNumberFormat="1" applyFont="1" applyBorder="1"/>
    <xf numFmtId="44" fontId="28" fillId="9" borderId="1" xfId="0" applyNumberFormat="1" applyFont="1" applyFill="1" applyBorder="1"/>
    <xf numFmtId="164" fontId="27" fillId="0" borderId="1" xfId="1" applyNumberFormat="1" applyFont="1" applyFill="1" applyBorder="1" applyAlignment="1">
      <alignment vertical="center"/>
    </xf>
    <xf numFmtId="0" fontId="27" fillId="0" borderId="1" xfId="0" applyFont="1" applyFill="1" applyBorder="1"/>
    <xf numFmtId="164" fontId="27" fillId="0" borderId="1" xfId="0" applyNumberFormat="1" applyFont="1" applyFill="1" applyBorder="1"/>
    <xf numFmtId="164" fontId="27" fillId="0" borderId="1" xfId="1" applyNumberFormat="1" applyFont="1" applyFill="1" applyBorder="1"/>
    <xf numFmtId="0" fontId="27" fillId="9" borderId="22" xfId="0" applyFont="1" applyFill="1" applyBorder="1"/>
    <xf numFmtId="0" fontId="27" fillId="0" borderId="22" xfId="0" applyFont="1" applyBorder="1"/>
    <xf numFmtId="164" fontId="27" fillId="0" borderId="22" xfId="1" applyNumberFormat="1" applyFont="1" applyBorder="1"/>
    <xf numFmtId="164" fontId="28" fillId="9" borderId="22" xfId="0" applyNumberFormat="1" applyFont="1" applyFill="1" applyBorder="1"/>
    <xf numFmtId="44" fontId="28" fillId="9" borderId="22" xfId="0" applyNumberFormat="1" applyFont="1" applyFill="1" applyBorder="1"/>
    <xf numFmtId="164" fontId="27" fillId="0" borderId="0" xfId="1" applyNumberFormat="1" applyFont="1" applyBorder="1"/>
    <xf numFmtId="164" fontId="27" fillId="0" borderId="22" xfId="0" applyNumberFormat="1" applyFont="1" applyBorder="1"/>
    <xf numFmtId="164" fontId="27" fillId="0" borderId="22" xfId="0" applyNumberFormat="1" applyFont="1" applyFill="1" applyBorder="1"/>
    <xf numFmtId="0" fontId="27" fillId="0" borderId="22" xfId="0" applyFont="1" applyFill="1" applyBorder="1"/>
    <xf numFmtId="164" fontId="27" fillId="0" borderId="22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7" xfId="0" applyBorder="1" applyAlignment="1">
      <alignment horizontal="center"/>
    </xf>
    <xf numFmtId="0" fontId="28" fillId="0" borderId="21" xfId="0" applyFont="1" applyBorder="1" applyAlignment="1"/>
    <xf numFmtId="0" fontId="28" fillId="0" borderId="56" xfId="0" applyFont="1" applyBorder="1" applyAlignment="1">
      <alignment horizontal="center"/>
    </xf>
    <xf numFmtId="0" fontId="28" fillId="0" borderId="55" xfId="0" applyFont="1" applyBorder="1" applyAlignment="1">
      <alignment horizontal="left"/>
    </xf>
    <xf numFmtId="0" fontId="36" fillId="0" borderId="0" xfId="3" applyFont="1" applyAlignment="1">
      <alignment vertical="justify" wrapText="1"/>
    </xf>
    <xf numFmtId="0" fontId="12" fillId="0" borderId="8" xfId="0" applyFont="1" applyBorder="1" applyAlignment="1"/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42" fontId="33" fillId="0" borderId="1" xfId="0" applyNumberFormat="1" applyFont="1" applyBorder="1"/>
    <xf numFmtId="164" fontId="16" fillId="0" borderId="21" xfId="1" applyNumberFormat="1" applyFont="1" applyBorder="1"/>
    <xf numFmtId="164" fontId="16" fillId="0" borderId="22" xfId="1" applyNumberFormat="1" applyFont="1" applyBorder="1" applyAlignment="1"/>
    <xf numFmtId="164" fontId="16" fillId="0" borderId="23" xfId="1" applyNumberFormat="1" applyFont="1" applyBorder="1"/>
    <xf numFmtId="164" fontId="16" fillId="0" borderId="25" xfId="1" applyNumberFormat="1" applyFont="1" applyBorder="1" applyAlignment="1"/>
    <xf numFmtId="0" fontId="4" fillId="16" borderId="74" xfId="0" applyFont="1" applyFill="1" applyBorder="1" applyAlignment="1">
      <alignment horizontal="center" vertical="center"/>
    </xf>
    <xf numFmtId="164" fontId="16" fillId="0" borderId="24" xfId="1" applyNumberFormat="1" applyFont="1" applyBorder="1" applyAlignment="1">
      <alignment horizontal="center"/>
    </xf>
    <xf numFmtId="166" fontId="0" fillId="0" borderId="0" xfId="0" applyNumberFormat="1"/>
    <xf numFmtId="44" fontId="0" fillId="0" borderId="0" xfId="1" applyFont="1"/>
    <xf numFmtId="42" fontId="4" fillId="16" borderId="17" xfId="0" applyNumberFormat="1" applyFont="1" applyFill="1" applyBorder="1"/>
    <xf numFmtId="0" fontId="0" fillId="0" borderId="55" xfId="0" applyFont="1" applyBorder="1" applyAlignment="1"/>
    <xf numFmtId="0" fontId="0" fillId="0" borderId="55" xfId="0" applyBorder="1" applyAlignment="1"/>
    <xf numFmtId="0" fontId="27" fillId="0" borderId="26" xfId="0" applyFont="1" applyBorder="1" applyAlignment="1"/>
    <xf numFmtId="0" fontId="27" fillId="0" borderId="54" xfId="0" applyFont="1" applyBorder="1" applyAlignment="1"/>
    <xf numFmtId="0" fontId="27" fillId="0" borderId="80" xfId="0" applyFont="1" applyBorder="1" applyAlignment="1"/>
    <xf numFmtId="0" fontId="27" fillId="0" borderId="67" xfId="0" applyFont="1" applyBorder="1" applyAlignment="1"/>
    <xf numFmtId="42" fontId="4" fillId="16" borderId="34" xfId="0" applyNumberFormat="1" applyFont="1" applyFill="1" applyBorder="1"/>
    <xf numFmtId="164" fontId="4" fillId="20" borderId="1" xfId="0" applyNumberFormat="1" applyFont="1" applyFill="1" applyBorder="1"/>
    <xf numFmtId="0" fontId="4" fillId="0" borderId="8" xfId="0" applyFont="1" applyFill="1" applyBorder="1" applyAlignment="1"/>
    <xf numFmtId="0" fontId="4" fillId="0" borderId="9" xfId="0" applyFont="1" applyFill="1" applyBorder="1" applyAlignment="1"/>
    <xf numFmtId="0" fontId="27" fillId="0" borderId="9" xfId="0" applyFont="1" applyBorder="1" applyAlignment="1"/>
    <xf numFmtId="9" fontId="12" fillId="0" borderId="9" xfId="2" applyFont="1" applyBorder="1" applyAlignment="1">
      <alignment horizontal="center"/>
    </xf>
    <xf numFmtId="164" fontId="16" fillId="0" borderId="13" xfId="0" applyNumberFormat="1" applyFont="1" applyBorder="1"/>
    <xf numFmtId="9" fontId="28" fillId="0" borderId="9" xfId="2" applyFont="1" applyBorder="1" applyAlignment="1">
      <alignment horizontal="center"/>
    </xf>
    <xf numFmtId="9" fontId="27" fillId="0" borderId="9" xfId="2" applyFont="1" applyBorder="1" applyAlignment="1">
      <alignment horizontal="center"/>
    </xf>
    <xf numFmtId="42" fontId="28" fillId="19" borderId="1" xfId="0" applyNumberFormat="1" applyFont="1" applyFill="1" applyBorder="1"/>
    <xf numFmtId="42" fontId="28" fillId="19" borderId="22" xfId="0" applyNumberFormat="1" applyFont="1" applyFill="1" applyBorder="1"/>
    <xf numFmtId="166" fontId="27" fillId="0" borderId="1" xfId="0" applyNumberFormat="1" applyFont="1" applyBorder="1"/>
    <xf numFmtId="0" fontId="12" fillId="0" borderId="55" xfId="0" applyFont="1" applyBorder="1" applyAlignment="1"/>
    <xf numFmtId="166" fontId="27" fillId="0" borderId="22" xfId="0" applyNumberFormat="1" applyFont="1" applyBorder="1"/>
    <xf numFmtId="164" fontId="3" fillId="23" borderId="17" xfId="0" applyNumberFormat="1" applyFont="1" applyFill="1" applyBorder="1"/>
    <xf numFmtId="164" fontId="32" fillId="23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1" fillId="15" borderId="8" xfId="0" applyFont="1" applyFill="1" applyBorder="1" applyAlignment="1">
      <alignment horizontal="center"/>
    </xf>
    <xf numFmtId="0" fontId="1" fillId="15" borderId="9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 vertical="center"/>
    </xf>
    <xf numFmtId="0" fontId="4" fillId="16" borderId="2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wrapText="1"/>
    </xf>
    <xf numFmtId="0" fontId="16" fillId="0" borderId="9" xfId="0" applyFont="1" applyBorder="1" applyAlignment="1">
      <alignment horizontal="left" wrapText="1"/>
    </xf>
    <xf numFmtId="0" fontId="4" fillId="16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27" xfId="0" applyBorder="1" applyAlignment="1">
      <alignment horizontal="center"/>
    </xf>
    <xf numFmtId="42" fontId="32" fillId="23" borderId="24" xfId="0" applyNumberFormat="1" applyFont="1" applyFill="1" applyBorder="1" applyAlignment="1">
      <alignment vertical="center"/>
    </xf>
    <xf numFmtId="0" fontId="0" fillId="9" borderId="22" xfId="0" applyFill="1" applyBorder="1" applyAlignment="1">
      <alignment horizontal="center"/>
    </xf>
    <xf numFmtId="164" fontId="27" fillId="9" borderId="22" xfId="0" applyNumberFormat="1" applyFont="1" applyFill="1" applyBorder="1"/>
    <xf numFmtId="0" fontId="0" fillId="0" borderId="60" xfId="0" applyBorder="1"/>
    <xf numFmtId="164" fontId="27" fillId="0" borderId="88" xfId="0" applyNumberFormat="1" applyFont="1" applyBorder="1"/>
    <xf numFmtId="164" fontId="27" fillId="0" borderId="41" xfId="0" applyNumberFormat="1" applyFont="1" applyBorder="1" applyAlignment="1">
      <alignment horizontal="center"/>
    </xf>
    <xf numFmtId="0" fontId="27" fillId="0" borderId="57" xfId="0" applyFont="1" applyBorder="1" applyAlignment="1">
      <alignment horizontal="center"/>
    </xf>
    <xf numFmtId="0" fontId="28" fillId="0" borderId="55" xfId="0" applyFont="1" applyBorder="1" applyAlignment="1"/>
    <xf numFmtId="44" fontId="27" fillId="0" borderId="57" xfId="0" applyNumberFormat="1" applyFont="1" applyFill="1" applyBorder="1" applyAlignment="1"/>
    <xf numFmtId="0" fontId="27" fillId="0" borderId="55" xfId="0" applyFont="1" applyBorder="1" applyAlignment="1"/>
    <xf numFmtId="0" fontId="27" fillId="0" borderId="57" xfId="0" applyFont="1" applyBorder="1" applyAlignment="1"/>
    <xf numFmtId="44" fontId="27" fillId="5" borderId="57" xfId="0" applyNumberFormat="1" applyFont="1" applyFill="1" applyBorder="1" applyAlignment="1">
      <alignment horizontal="center"/>
    </xf>
    <xf numFmtId="164" fontId="16" fillId="0" borderId="22" xfId="0" applyNumberFormat="1" applyFont="1" applyFill="1" applyBorder="1" applyAlignment="1"/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left"/>
    </xf>
    <xf numFmtId="0" fontId="1" fillId="7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4" fillId="16" borderId="10" xfId="0" applyFont="1" applyFill="1" applyBorder="1" applyAlignment="1">
      <alignment horizontal="center" vertical="center"/>
    </xf>
    <xf numFmtId="0" fontId="4" fillId="16" borderId="44" xfId="0" applyFont="1" applyFill="1" applyBorder="1" applyAlignment="1">
      <alignment horizontal="center" vertical="center"/>
    </xf>
    <xf numFmtId="164" fontId="3" fillId="17" borderId="32" xfId="0" applyNumberFormat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vertical="center"/>
    </xf>
    <xf numFmtId="1" fontId="40" fillId="0" borderId="0" xfId="3" applyNumberFormat="1" applyFont="1" applyBorder="1" applyAlignment="1">
      <alignment horizontal="centerContinuous"/>
    </xf>
    <xf numFmtId="0" fontId="1" fillId="0" borderId="1" xfId="0" applyFont="1" applyBorder="1"/>
    <xf numFmtId="0" fontId="1" fillId="0" borderId="1" xfId="0" applyFont="1" applyFill="1" applyBorder="1"/>
    <xf numFmtId="164" fontId="0" fillId="19" borderId="1" xfId="0" applyNumberFormat="1" applyFill="1" applyBorder="1"/>
    <xf numFmtId="0" fontId="0" fillId="0" borderId="57" xfId="0" applyBorder="1"/>
    <xf numFmtId="0" fontId="0" fillId="0" borderId="30" xfId="0" applyBorder="1"/>
    <xf numFmtId="0" fontId="0" fillId="0" borderId="42" xfId="0" applyBorder="1"/>
    <xf numFmtId="0" fontId="0" fillId="0" borderId="32" xfId="0" applyBorder="1"/>
    <xf numFmtId="0" fontId="16" fillId="0" borderId="55" xfId="0" applyFont="1" applyFill="1" applyBorder="1"/>
    <xf numFmtId="0" fontId="16" fillId="0" borderId="16" xfId="0" applyFont="1" applyFill="1" applyBorder="1"/>
    <xf numFmtId="164" fontId="16" fillId="0" borderId="1" xfId="1" applyNumberFormat="1" applyFont="1" applyFill="1" applyBorder="1" applyAlignment="1">
      <alignment vertical="center"/>
    </xf>
    <xf numFmtId="0" fontId="0" fillId="0" borderId="55" xfId="0" applyFill="1" applyBorder="1"/>
    <xf numFmtId="0" fontId="0" fillId="0" borderId="16" xfId="0" applyFill="1" applyBorder="1"/>
    <xf numFmtId="164" fontId="16" fillId="0" borderId="1" xfId="0" applyNumberFormat="1" applyFont="1" applyFill="1" applyBorder="1"/>
    <xf numFmtId="164" fontId="10" fillId="19" borderId="1" xfId="0" applyNumberFormat="1" applyFont="1" applyFill="1" applyBorder="1"/>
    <xf numFmtId="164" fontId="10" fillId="19" borderId="22" xfId="0" applyNumberFormat="1" applyFont="1" applyFill="1" applyBorder="1"/>
    <xf numFmtId="0" fontId="12" fillId="9" borderId="1" xfId="0" applyFont="1" applyFill="1" applyBorder="1"/>
    <xf numFmtId="164" fontId="12" fillId="0" borderId="1" xfId="1" applyNumberFormat="1" applyFont="1" applyBorder="1"/>
    <xf numFmtId="164" fontId="10" fillId="9" borderId="1" xfId="0" applyNumberFormat="1" applyFont="1" applyFill="1" applyBorder="1"/>
    <xf numFmtId="44" fontId="12" fillId="9" borderId="1" xfId="0" applyNumberFormat="1" applyFont="1" applyFill="1" applyBorder="1"/>
    <xf numFmtId="164" fontId="12" fillId="0" borderId="0" xfId="1" applyNumberFormat="1" applyFont="1" applyBorder="1"/>
    <xf numFmtId="164" fontId="12" fillId="0" borderId="22" xfId="1" applyNumberFormat="1" applyFont="1" applyBorder="1"/>
    <xf numFmtId="42" fontId="12" fillId="0" borderId="1" xfId="0" applyNumberFormat="1" applyFont="1" applyBorder="1"/>
    <xf numFmtId="0" fontId="28" fillId="12" borderId="1" xfId="0" applyFont="1" applyFill="1" applyBorder="1" applyAlignment="1">
      <alignment horizontal="center"/>
    </xf>
    <xf numFmtId="42" fontId="27" fillId="0" borderId="12" xfId="0" applyNumberFormat="1" applyFont="1" applyBorder="1"/>
    <xf numFmtId="0" fontId="27" fillId="0" borderId="0" xfId="0" applyFont="1"/>
    <xf numFmtId="164" fontId="12" fillId="0" borderId="1" xfId="0" applyNumberFormat="1" applyFont="1" applyBorder="1"/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left"/>
    </xf>
    <xf numFmtId="42" fontId="27" fillId="9" borderId="1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0" fillId="0" borderId="26" xfId="0" applyBorder="1"/>
    <xf numFmtId="0" fontId="0" fillId="0" borderId="65" xfId="0" applyBorder="1"/>
    <xf numFmtId="164" fontId="0" fillId="0" borderId="24" xfId="1" applyNumberFormat="1" applyFont="1" applyBorder="1" applyAlignment="1">
      <alignment vertical="center"/>
    </xf>
    <xf numFmtId="164" fontId="0" fillId="0" borderId="25" xfId="1" applyNumberFormat="1" applyFont="1" applyBorder="1" applyAlignment="1">
      <alignment vertical="center"/>
    </xf>
    <xf numFmtId="42" fontId="27" fillId="0" borderId="8" xfId="0" applyNumberFormat="1" applyFont="1" applyBorder="1"/>
    <xf numFmtId="42" fontId="3" fillId="23" borderId="17" xfId="0" applyNumberFormat="1" applyFont="1" applyFill="1" applyBorder="1"/>
    <xf numFmtId="0" fontId="35" fillId="0" borderId="0" xfId="0" applyFont="1" applyFill="1" applyBorder="1" applyAlignment="1">
      <alignment horizontal="center"/>
    </xf>
    <xf numFmtId="0" fontId="34" fillId="0" borderId="0" xfId="0" applyFont="1" applyFill="1"/>
    <xf numFmtId="0" fontId="45" fillId="16" borderId="1" xfId="0" applyFont="1" applyFill="1" applyBorder="1" applyAlignment="1">
      <alignment horizontal="center" vertical="center" wrapText="1"/>
    </xf>
    <xf numFmtId="0" fontId="46" fillId="16" borderId="1" xfId="0" applyFont="1" applyFill="1" applyBorder="1" applyAlignment="1">
      <alignment horizontal="center" vertical="center"/>
    </xf>
    <xf numFmtId="4" fontId="49" fillId="0" borderId="1" xfId="0" applyNumberFormat="1" applyFont="1" applyBorder="1" applyAlignment="1">
      <alignment horizontal="center"/>
    </xf>
    <xf numFmtId="0" fontId="49" fillId="0" borderId="21" xfId="0" applyFont="1" applyBorder="1" applyAlignment="1">
      <alignment horizontal="center"/>
    </xf>
    <xf numFmtId="2" fontId="49" fillId="0" borderId="1" xfId="0" applyNumberFormat="1" applyFont="1" applyBorder="1" applyAlignment="1">
      <alignment horizontal="center"/>
    </xf>
    <xf numFmtId="168" fontId="49" fillId="0" borderId="22" xfId="0" applyNumberFormat="1" applyFont="1" applyBorder="1" applyAlignment="1">
      <alignment vertical="center"/>
    </xf>
    <xf numFmtId="4" fontId="49" fillId="0" borderId="1" xfId="0" applyNumberFormat="1" applyFont="1" applyFill="1" applyBorder="1" applyAlignment="1">
      <alignment horizontal="center"/>
    </xf>
    <xf numFmtId="0" fontId="49" fillId="0" borderId="23" xfId="0" applyFont="1" applyBorder="1" applyAlignment="1">
      <alignment horizontal="center"/>
    </xf>
    <xf numFmtId="2" fontId="49" fillId="0" borderId="24" xfId="0" applyNumberFormat="1" applyFont="1" applyBorder="1" applyAlignment="1">
      <alignment horizontal="center"/>
    </xf>
    <xf numFmtId="168" fontId="49" fillId="0" borderId="25" xfId="0" applyNumberFormat="1" applyFont="1" applyBorder="1" applyAlignment="1">
      <alignment vertical="center"/>
    </xf>
    <xf numFmtId="0" fontId="46" fillId="16" borderId="8" xfId="0" applyFont="1" applyFill="1" applyBorder="1" applyAlignment="1">
      <alignment horizontal="center" vertical="center"/>
    </xf>
    <xf numFmtId="4" fontId="49" fillId="0" borderId="8" xfId="0" applyNumberFormat="1" applyFont="1" applyBorder="1" applyAlignment="1">
      <alignment horizontal="center"/>
    </xf>
    <xf numFmtId="4" fontId="49" fillId="0" borderId="8" xfId="0" applyNumberFormat="1" applyFont="1" applyFill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0" fillId="16" borderId="56" xfId="0" applyFill="1" applyBorder="1"/>
    <xf numFmtId="0" fontId="45" fillId="16" borderId="21" xfId="0" applyFont="1" applyFill="1" applyBorder="1" applyAlignment="1">
      <alignment horizontal="center" vertical="center" wrapText="1"/>
    </xf>
    <xf numFmtId="0" fontId="45" fillId="16" borderId="22" xfId="0" applyFont="1" applyFill="1" applyBorder="1" applyAlignment="1">
      <alignment horizontal="center" vertical="center" wrapText="1"/>
    </xf>
    <xf numFmtId="0" fontId="46" fillId="0" borderId="21" xfId="0" applyFont="1" applyBorder="1" applyAlignment="1">
      <alignment horizontal="center"/>
    </xf>
    <xf numFmtId="0" fontId="46" fillId="0" borderId="21" xfId="0" applyFont="1" applyFill="1" applyBorder="1" applyAlignment="1">
      <alignment horizontal="center"/>
    </xf>
    <xf numFmtId="0" fontId="46" fillId="0" borderId="23" xfId="0" applyFont="1" applyFill="1" applyBorder="1" applyAlignment="1">
      <alignment horizontal="center"/>
    </xf>
    <xf numFmtId="4" fontId="49" fillId="0" borderId="24" xfId="0" applyNumberFormat="1" applyFont="1" applyBorder="1" applyAlignment="1">
      <alignment horizontal="center"/>
    </xf>
    <xf numFmtId="4" fontId="49" fillId="0" borderId="44" xfId="0" applyNumberFormat="1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35" fillId="16" borderId="52" xfId="0" applyFont="1" applyFill="1" applyBorder="1" applyAlignment="1">
      <alignment horizontal="center"/>
    </xf>
    <xf numFmtId="0" fontId="42" fillId="16" borderId="52" xfId="0" applyFont="1" applyFill="1" applyBorder="1" applyAlignment="1">
      <alignment horizontal="center" vertical="center"/>
    </xf>
    <xf numFmtId="0" fontId="34" fillId="16" borderId="53" xfId="0" applyFont="1" applyFill="1" applyBorder="1"/>
    <xf numFmtId="0" fontId="45" fillId="16" borderId="0" xfId="0" applyFont="1" applyFill="1" applyBorder="1" applyAlignment="1">
      <alignment horizontal="center"/>
    </xf>
    <xf numFmtId="0" fontId="12" fillId="16" borderId="0" xfId="0" applyFont="1" applyFill="1" applyBorder="1"/>
    <xf numFmtId="0" fontId="12" fillId="16" borderId="58" xfId="0" applyFont="1" applyFill="1" applyBorder="1"/>
    <xf numFmtId="0" fontId="34" fillId="0" borderId="0" xfId="0" applyFont="1" applyFill="1" applyBorder="1"/>
    <xf numFmtId="4" fontId="36" fillId="0" borderId="0" xfId="0" applyNumberFormat="1" applyFont="1" applyBorder="1" applyAlignment="1">
      <alignment horizontal="center"/>
    </xf>
    <xf numFmtId="4" fontId="49" fillId="0" borderId="24" xfId="0" applyNumberFormat="1" applyFont="1" applyFill="1" applyBorder="1" applyAlignment="1">
      <alignment horizontal="center"/>
    </xf>
    <xf numFmtId="0" fontId="0" fillId="16" borderId="21" xfId="0" applyFill="1" applyBorder="1"/>
    <xf numFmtId="0" fontId="46" fillId="16" borderId="21" xfId="0" applyFont="1" applyFill="1" applyBorder="1" applyAlignment="1">
      <alignment horizontal="center" vertical="center" wrapText="1"/>
    </xf>
    <xf numFmtId="2" fontId="49" fillId="0" borderId="22" xfId="0" applyNumberFormat="1" applyFont="1" applyBorder="1" applyAlignment="1">
      <alignment horizontal="center"/>
    </xf>
    <xf numFmtId="2" fontId="49" fillId="0" borderId="25" xfId="0" applyNumberFormat="1" applyFont="1" applyBorder="1" applyAlignment="1">
      <alignment horizontal="center"/>
    </xf>
    <xf numFmtId="4" fontId="49" fillId="0" borderId="44" xfId="0" applyNumberFormat="1" applyFont="1" applyFill="1" applyBorder="1" applyAlignment="1">
      <alignment horizontal="center"/>
    </xf>
    <xf numFmtId="0" fontId="46" fillId="16" borderId="18" xfId="0" applyFont="1" applyFill="1" applyBorder="1" applyAlignment="1">
      <alignment horizontal="center" vertical="center" wrapText="1"/>
    </xf>
    <xf numFmtId="0" fontId="46" fillId="16" borderId="19" xfId="0" applyFont="1" applyFill="1" applyBorder="1" applyAlignment="1">
      <alignment horizontal="center" vertical="center" wrapText="1"/>
    </xf>
    <xf numFmtId="0" fontId="46" fillId="16" borderId="20" xfId="0" applyFont="1" applyFill="1" applyBorder="1" applyAlignment="1">
      <alignment horizontal="center" vertical="center" wrapText="1"/>
    </xf>
    <xf numFmtId="0" fontId="50" fillId="0" borderId="51" xfId="0" applyFont="1" applyBorder="1"/>
    <xf numFmtId="0" fontId="50" fillId="0" borderId="52" xfId="0" applyFont="1" applyBorder="1"/>
    <xf numFmtId="0" fontId="44" fillId="0" borderId="52" xfId="0" applyFont="1" applyBorder="1" applyAlignment="1">
      <alignment horizontal="center"/>
    </xf>
    <xf numFmtId="0" fontId="44" fillId="0" borderId="53" xfId="0" applyFont="1" applyBorder="1" applyAlignment="1">
      <alignment horizontal="center"/>
    </xf>
    <xf numFmtId="168" fontId="50" fillId="0" borderId="91" xfId="0" applyNumberFormat="1" applyFont="1" applyFill="1" applyBorder="1" applyAlignment="1">
      <alignment horizontal="center" vertical="center"/>
    </xf>
    <xf numFmtId="168" fontId="50" fillId="0" borderId="91" xfId="0" applyNumberFormat="1" applyFont="1" applyFill="1" applyBorder="1" applyAlignment="1">
      <alignment vertical="center"/>
    </xf>
    <xf numFmtId="168" fontId="50" fillId="0" borderId="22" xfId="0" applyNumberFormat="1" applyFont="1" applyFill="1" applyBorder="1" applyAlignment="1">
      <alignment vertical="center"/>
    </xf>
    <xf numFmtId="0" fontId="15" fillId="0" borderId="30" xfId="0" applyFont="1" applyBorder="1"/>
    <xf numFmtId="0" fontId="44" fillId="0" borderId="42" xfId="0" applyFont="1" applyBorder="1" applyAlignment="1">
      <alignment horizontal="right"/>
    </xf>
    <xf numFmtId="169" fontId="44" fillId="0" borderId="92" xfId="0" applyNumberFormat="1" applyFont="1" applyFill="1" applyBorder="1"/>
    <xf numFmtId="0" fontId="15" fillId="0" borderId="42" xfId="0" applyFont="1" applyBorder="1"/>
    <xf numFmtId="169" fontId="44" fillId="0" borderId="93" xfId="0" applyNumberFormat="1" applyFont="1" applyFill="1" applyBorder="1"/>
    <xf numFmtId="0" fontId="15" fillId="0" borderId="94" xfId="0" applyFont="1" applyBorder="1"/>
    <xf numFmtId="169" fontId="44" fillId="0" borderId="25" xfId="0" applyNumberFormat="1" applyFont="1" applyFill="1" applyBorder="1"/>
    <xf numFmtId="0" fontId="12" fillId="0" borderId="22" xfId="0" applyFont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2" fillId="9" borderId="10" xfId="0" applyFont="1" applyFill="1" applyBorder="1"/>
    <xf numFmtId="0" fontId="12" fillId="9" borderId="60" xfId="0" applyFont="1" applyFill="1" applyBorder="1"/>
    <xf numFmtId="0" fontId="10" fillId="0" borderId="21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20" xfId="0" applyFont="1" applyBorder="1"/>
    <xf numFmtId="0" fontId="0" fillId="0" borderId="38" xfId="0" applyBorder="1"/>
    <xf numFmtId="0" fontId="0" fillId="0" borderId="28" xfId="0" applyBorder="1"/>
    <xf numFmtId="0" fontId="12" fillId="0" borderId="65" xfId="0" applyFont="1" applyBorder="1"/>
    <xf numFmtId="0" fontId="12" fillId="0" borderId="54" xfId="0" applyFont="1" applyBorder="1"/>
    <xf numFmtId="164" fontId="12" fillId="0" borderId="57" xfId="1" applyNumberFormat="1" applyFont="1" applyBorder="1"/>
    <xf numFmtId="164" fontId="12" fillId="0" borderId="55" xfId="1" applyNumberFormat="1" applyFont="1" applyBorder="1"/>
    <xf numFmtId="164" fontId="12" fillId="0" borderId="24" xfId="1" applyNumberFormat="1" applyFont="1" applyBorder="1"/>
    <xf numFmtId="0" fontId="10" fillId="0" borderId="55" xfId="0" applyFont="1" applyFill="1" applyBorder="1" applyAlignment="1"/>
    <xf numFmtId="0" fontId="10" fillId="0" borderId="55" xfId="0" applyFont="1" applyFill="1" applyBorder="1" applyAlignment="1">
      <alignment horizontal="left"/>
    </xf>
    <xf numFmtId="164" fontId="12" fillId="0" borderId="5" xfId="0" applyNumberFormat="1" applyFont="1" applyBorder="1"/>
    <xf numFmtId="164" fontId="3" fillId="23" borderId="19" xfId="0" applyNumberFormat="1" applyFont="1" applyFill="1" applyBorder="1"/>
    <xf numFmtId="164" fontId="3" fillId="23" borderId="24" xfId="0" applyNumberFormat="1" applyFont="1" applyFill="1" applyBorder="1"/>
    <xf numFmtId="164" fontId="3" fillId="23" borderId="25" xfId="0" applyNumberFormat="1" applyFont="1" applyFill="1" applyBorder="1"/>
    <xf numFmtId="42" fontId="32" fillId="22" borderId="28" xfId="0" applyNumberFormat="1" applyFont="1" applyFill="1" applyBorder="1" applyAlignment="1"/>
    <xf numFmtId="0" fontId="0" fillId="22" borderId="39" xfId="0" applyFill="1" applyBorder="1"/>
    <xf numFmtId="0" fontId="27" fillId="0" borderId="71" xfId="0" applyFont="1" applyBorder="1" applyAlignment="1">
      <alignment horizontal="center"/>
    </xf>
    <xf numFmtId="0" fontId="36" fillId="0" borderId="0" xfId="3" applyFont="1" applyFill="1" applyBorder="1" applyAlignment="1">
      <alignment vertical="justify" wrapText="1"/>
    </xf>
    <xf numFmtId="0" fontId="36" fillId="0" borderId="0" xfId="3" applyFont="1" applyBorder="1" applyAlignment="1">
      <alignment horizontal="center" vertical="justify" wrapText="1"/>
    </xf>
    <xf numFmtId="168" fontId="36" fillId="0" borderId="0" xfId="3" applyNumberFormat="1" applyFont="1" applyBorder="1" applyAlignment="1">
      <alignment vertical="justify" wrapText="1"/>
    </xf>
    <xf numFmtId="164" fontId="16" fillId="0" borderId="1" xfId="1" applyNumberFormat="1" applyFont="1" applyFill="1" applyBorder="1"/>
    <xf numFmtId="0" fontId="35" fillId="0" borderId="0" xfId="3" applyFont="1" applyBorder="1" applyAlignment="1">
      <alignment horizontal="center" vertical="center"/>
    </xf>
    <xf numFmtId="168" fontId="36" fillId="0" borderId="0" xfId="3" applyNumberFormat="1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164" fontId="3" fillId="17" borderId="35" xfId="0" applyNumberFormat="1" applyFont="1" applyFill="1" applyBorder="1" applyAlignment="1">
      <alignment vertical="center"/>
    </xf>
    <xf numFmtId="164" fontId="3" fillId="17" borderId="36" xfId="0" applyNumberFormat="1" applyFont="1" applyFill="1" applyBorder="1" applyAlignment="1">
      <alignment vertical="center"/>
    </xf>
    <xf numFmtId="0" fontId="4" fillId="16" borderId="75" xfId="0" applyFont="1" applyFill="1" applyBorder="1" applyAlignment="1">
      <alignment horizontal="center" vertical="center"/>
    </xf>
    <xf numFmtId="0" fontId="4" fillId="16" borderId="62" xfId="0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center"/>
    </xf>
    <xf numFmtId="164" fontId="3" fillId="17" borderId="27" xfId="0" applyNumberFormat="1" applyFont="1" applyFill="1" applyBorder="1" applyAlignment="1">
      <alignment vertical="center"/>
    </xf>
    <xf numFmtId="164" fontId="16" fillId="0" borderId="21" xfId="1" applyNumberFormat="1" applyFont="1" applyFill="1" applyBorder="1"/>
    <xf numFmtId="164" fontId="16" fillId="0" borderId="22" xfId="1" applyNumberFormat="1" applyFont="1" applyFill="1" applyBorder="1"/>
    <xf numFmtId="164" fontId="3" fillId="17" borderId="23" xfId="0" applyNumberFormat="1" applyFont="1" applyFill="1" applyBorder="1" applyAlignment="1">
      <alignment vertical="center"/>
    </xf>
    <xf numFmtId="164" fontId="3" fillId="17" borderId="25" xfId="0" applyNumberFormat="1" applyFont="1" applyFill="1" applyBorder="1" applyAlignment="1">
      <alignment vertical="center"/>
    </xf>
    <xf numFmtId="0" fontId="4" fillId="16" borderId="95" xfId="0" applyFont="1" applyFill="1" applyBorder="1" applyAlignment="1">
      <alignment horizontal="center" vertical="center"/>
    </xf>
    <xf numFmtId="164" fontId="16" fillId="0" borderId="82" xfId="1" applyNumberFormat="1" applyFont="1" applyFill="1" applyBorder="1"/>
    <xf numFmtId="164" fontId="3" fillId="17" borderId="96" xfId="0" applyNumberFormat="1" applyFont="1" applyFill="1" applyBorder="1" applyAlignment="1">
      <alignment vertical="center"/>
    </xf>
    <xf numFmtId="0" fontId="16" fillId="0" borderId="57" xfId="0" applyFont="1" applyFill="1" applyBorder="1"/>
    <xf numFmtId="0" fontId="16" fillId="0" borderId="40" xfId="0" applyFont="1" applyFill="1" applyBorder="1"/>
    <xf numFmtId="0" fontId="16" fillId="0" borderId="2" xfId="0" applyFont="1" applyFill="1" applyBorder="1"/>
    <xf numFmtId="0" fontId="16" fillId="0" borderId="41" xfId="0" applyFont="1" applyFill="1" applyBorder="1"/>
    <xf numFmtId="164" fontId="16" fillId="0" borderId="85" xfId="1" applyNumberFormat="1" applyFont="1" applyFill="1" applyBorder="1"/>
    <xf numFmtId="164" fontId="16" fillId="0" borderId="12" xfId="1" applyNumberFormat="1" applyFont="1" applyFill="1" applyBorder="1"/>
    <xf numFmtId="164" fontId="16" fillId="0" borderId="64" xfId="1" applyNumberFormat="1" applyFont="1" applyFill="1" applyBorder="1"/>
    <xf numFmtId="164" fontId="16" fillId="0" borderId="97" xfId="1" applyNumberFormat="1" applyFont="1" applyFill="1" applyBorder="1"/>
    <xf numFmtId="0" fontId="0" fillId="0" borderId="30" xfId="0" applyFill="1" applyBorder="1"/>
    <xf numFmtId="0" fontId="0" fillId="0" borderId="42" xfId="0" applyFill="1" applyBorder="1"/>
    <xf numFmtId="0" fontId="0" fillId="0" borderId="32" xfId="0" applyFill="1" applyBorder="1"/>
    <xf numFmtId="0" fontId="12" fillId="0" borderId="96" xfId="0" applyFont="1" applyFill="1" applyBorder="1" applyAlignment="1">
      <alignment horizontal="center" vertical="center"/>
    </xf>
    <xf numFmtId="164" fontId="16" fillId="0" borderId="21" xfId="1" applyNumberFormat="1" applyFont="1" applyFill="1" applyBorder="1" applyAlignment="1">
      <alignment horizontal="center"/>
    </xf>
    <xf numFmtId="164" fontId="16" fillId="0" borderId="22" xfId="1" applyNumberFormat="1" applyFont="1" applyFill="1" applyBorder="1" applyAlignment="1">
      <alignment horizontal="center"/>
    </xf>
    <xf numFmtId="164" fontId="16" fillId="0" borderId="82" xfId="1" applyNumberFormat="1" applyFont="1" applyFill="1" applyBorder="1" applyAlignment="1">
      <alignment horizontal="center"/>
    </xf>
    <xf numFmtId="0" fontId="16" fillId="0" borderId="56" xfId="0" applyFont="1" applyBorder="1"/>
    <xf numFmtId="0" fontId="16" fillId="0" borderId="0" xfId="0" applyFont="1" applyBorder="1"/>
    <xf numFmtId="164" fontId="16" fillId="0" borderId="11" xfId="1" applyNumberFormat="1" applyFont="1" applyBorder="1"/>
    <xf numFmtId="0" fontId="0" fillId="0" borderId="54" xfId="0" applyBorder="1"/>
    <xf numFmtId="0" fontId="16" fillId="0" borderId="58" xfId="0" applyFont="1" applyBorder="1"/>
    <xf numFmtId="0" fontId="4" fillId="16" borderId="18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4" fillId="16" borderId="20" xfId="0" applyFont="1" applyFill="1" applyBorder="1" applyAlignment="1">
      <alignment horizontal="center" vertical="center"/>
    </xf>
    <xf numFmtId="164" fontId="16" fillId="0" borderId="68" xfId="1" applyNumberFormat="1" applyFont="1" applyBorder="1"/>
    <xf numFmtId="164" fontId="16" fillId="0" borderId="69" xfId="1" applyNumberFormat="1" applyFont="1" applyBorder="1"/>
    <xf numFmtId="164" fontId="3" fillId="17" borderId="34" xfId="0" applyNumberFormat="1" applyFont="1" applyFill="1" applyBorder="1" applyAlignment="1">
      <alignment vertical="center"/>
    </xf>
    <xf numFmtId="0" fontId="4" fillId="16" borderId="83" xfId="0" applyFont="1" applyFill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164" fontId="16" fillId="0" borderId="84" xfId="1" applyNumberFormat="1" applyFont="1" applyBorder="1"/>
    <xf numFmtId="164" fontId="3" fillId="17" borderId="17" xfId="0" applyNumberFormat="1" applyFont="1" applyFill="1" applyBorder="1" applyAlignment="1">
      <alignment vertical="center"/>
    </xf>
    <xf numFmtId="164" fontId="16" fillId="0" borderId="12" xfId="1" applyNumberFormat="1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164" fontId="16" fillId="0" borderId="85" xfId="1" applyNumberFormat="1" applyFont="1" applyBorder="1" applyAlignment="1">
      <alignment vertical="center"/>
    </xf>
    <xf numFmtId="164" fontId="16" fillId="0" borderId="64" xfId="1" applyNumberFormat="1" applyFont="1" applyBorder="1" applyAlignment="1">
      <alignment vertical="center"/>
    </xf>
    <xf numFmtId="164" fontId="16" fillId="0" borderId="21" xfId="1" applyNumberFormat="1" applyFont="1" applyBorder="1" applyAlignment="1">
      <alignment vertical="center"/>
    </xf>
    <xf numFmtId="164" fontId="16" fillId="0" borderId="22" xfId="1" applyNumberFormat="1" applyFont="1" applyBorder="1" applyAlignment="1">
      <alignment vertical="center"/>
    </xf>
    <xf numFmtId="164" fontId="16" fillId="0" borderId="97" xfId="1" applyNumberFormat="1" applyFont="1" applyBorder="1" applyAlignment="1">
      <alignment vertical="center"/>
    </xf>
    <xf numFmtId="164" fontId="16" fillId="0" borderId="82" xfId="1" applyNumberFormat="1" applyFont="1" applyBorder="1" applyAlignment="1">
      <alignment vertical="center"/>
    </xf>
    <xf numFmtId="0" fontId="4" fillId="0" borderId="4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164" fontId="16" fillId="0" borderId="21" xfId="1" applyNumberFormat="1" applyFont="1" applyFill="1" applyBorder="1" applyAlignment="1">
      <alignment vertical="center"/>
    </xf>
    <xf numFmtId="164" fontId="16" fillId="0" borderId="22" xfId="1" applyNumberFormat="1" applyFont="1" applyFill="1" applyBorder="1" applyAlignment="1">
      <alignment vertical="center"/>
    </xf>
    <xf numFmtId="164" fontId="16" fillId="0" borderId="82" xfId="1" applyNumberFormat="1" applyFont="1" applyFill="1" applyBorder="1" applyAlignment="1">
      <alignment vertical="center"/>
    </xf>
    <xf numFmtId="164" fontId="3" fillId="17" borderId="30" xfId="0" applyNumberFormat="1" applyFont="1" applyFill="1" applyBorder="1" applyAlignment="1">
      <alignment horizontal="center" vertical="center"/>
    </xf>
    <xf numFmtId="164" fontId="3" fillId="17" borderId="28" xfId="0" applyNumberFormat="1" applyFont="1" applyFill="1" applyBorder="1" applyAlignment="1">
      <alignment vertical="center"/>
    </xf>
    <xf numFmtId="164" fontId="3" fillId="17" borderId="39" xfId="0" applyNumberFormat="1" applyFont="1" applyFill="1" applyBorder="1" applyAlignment="1">
      <alignment vertical="center"/>
    </xf>
    <xf numFmtId="0" fontId="4" fillId="16" borderId="73" xfId="0" applyFont="1" applyFill="1" applyBorder="1" applyAlignment="1">
      <alignment horizontal="center" vertical="center"/>
    </xf>
    <xf numFmtId="164" fontId="16" fillId="0" borderId="8" xfId="1" applyNumberFormat="1" applyFont="1" applyFill="1" applyBorder="1"/>
    <xf numFmtId="0" fontId="3" fillId="17" borderId="26" xfId="0" applyFont="1" applyFill="1" applyBorder="1" applyAlignment="1">
      <alignment wrapText="1"/>
    </xf>
    <xf numFmtId="0" fontId="3" fillId="17" borderId="65" xfId="0" applyFont="1" applyFill="1" applyBorder="1" applyAlignment="1">
      <alignment wrapText="1"/>
    </xf>
    <xf numFmtId="0" fontId="3" fillId="17" borderId="54" xfId="0" applyFont="1" applyFill="1" applyBorder="1" applyAlignment="1">
      <alignment wrapText="1"/>
    </xf>
    <xf numFmtId="0" fontId="3" fillId="17" borderId="26" xfId="0" applyFont="1" applyFill="1" applyBorder="1" applyAlignment="1">
      <alignment vertical="center" wrapText="1"/>
    </xf>
    <xf numFmtId="0" fontId="3" fillId="17" borderId="65" xfId="0" applyFont="1" applyFill="1" applyBorder="1" applyAlignment="1">
      <alignment vertical="center" wrapText="1"/>
    </xf>
    <xf numFmtId="0" fontId="3" fillId="17" borderId="54" xfId="0" applyFont="1" applyFill="1" applyBorder="1" applyAlignment="1">
      <alignment vertical="center" wrapText="1"/>
    </xf>
    <xf numFmtId="0" fontId="3" fillId="17" borderId="39" xfId="0" applyFont="1" applyFill="1" applyBorder="1" applyAlignment="1">
      <alignment vertical="center" wrapText="1"/>
    </xf>
    <xf numFmtId="0" fontId="3" fillId="17" borderId="38" xfId="0" applyFont="1" applyFill="1" applyBorder="1" applyAlignment="1">
      <alignment vertical="center" wrapText="1"/>
    </xf>
    <xf numFmtId="0" fontId="3" fillId="17" borderId="28" xfId="0" applyFont="1" applyFill="1" applyBorder="1" applyAlignment="1">
      <alignment vertical="center" wrapText="1"/>
    </xf>
    <xf numFmtId="1" fontId="12" fillId="0" borderId="9" xfId="0" applyNumberFormat="1" applyFont="1" applyBorder="1" applyAlignment="1">
      <alignment horizontal="left"/>
    </xf>
    <xf numFmtId="0" fontId="10" fillId="0" borderId="22" xfId="0" applyFont="1" applyBorder="1" applyAlignment="1">
      <alignment horizontal="center" vertical="center"/>
    </xf>
    <xf numFmtId="0" fontId="12" fillId="0" borderId="22" xfId="0" applyFont="1" applyBorder="1"/>
    <xf numFmtId="0" fontId="12" fillId="0" borderId="55" xfId="0" applyFont="1" applyBorder="1"/>
    <xf numFmtId="1" fontId="12" fillId="0" borderId="55" xfId="0" applyNumberFormat="1" applyFont="1" applyBorder="1" applyAlignment="1">
      <alignment horizontal="left"/>
    </xf>
    <xf numFmtId="0" fontId="10" fillId="2" borderId="80" xfId="0" applyFont="1" applyFill="1" applyBorder="1" applyAlignment="1"/>
    <xf numFmtId="0" fontId="10" fillId="2" borderId="29" xfId="0" applyFont="1" applyFill="1" applyBorder="1" applyAlignment="1"/>
    <xf numFmtId="42" fontId="0" fillId="0" borderId="43" xfId="0" applyNumberFormat="1" applyBorder="1" applyAlignment="1"/>
    <xf numFmtId="42" fontId="0" fillId="0" borderId="66" xfId="0" applyNumberFormat="1" applyBorder="1" applyAlignment="1"/>
    <xf numFmtId="42" fontId="0" fillId="0" borderId="67" xfId="0" applyNumberFormat="1" applyBorder="1" applyAlignment="1"/>
    <xf numFmtId="164" fontId="0" fillId="6" borderId="9" xfId="1" applyNumberFormat="1" applyFont="1" applyFill="1" applyBorder="1"/>
    <xf numFmtId="0" fontId="4" fillId="0" borderId="56" xfId="0" applyFont="1" applyFill="1" applyBorder="1" applyAlignment="1">
      <alignment vertical="center"/>
    </xf>
    <xf numFmtId="164" fontId="0" fillId="0" borderId="56" xfId="1" applyNumberFormat="1" applyFont="1" applyFill="1" applyBorder="1"/>
    <xf numFmtId="0" fontId="16" fillId="0" borderId="9" xfId="0" applyFont="1" applyBorder="1" applyAlignment="1"/>
    <xf numFmtId="0" fontId="16" fillId="0" borderId="27" xfId="0" applyFont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16" borderId="10" xfId="0" applyFill="1" applyBorder="1" applyAlignment="1">
      <alignment vertical="center" wrapText="1"/>
    </xf>
    <xf numFmtId="10" fontId="0" fillId="16" borderId="10" xfId="2" applyNumberFormat="1" applyFont="1" applyFill="1" applyBorder="1" applyAlignment="1">
      <alignment vertical="center"/>
    </xf>
    <xf numFmtId="0" fontId="0" fillId="16" borderId="11" xfId="0" applyFill="1" applyBorder="1" applyAlignment="1">
      <alignment vertical="center" wrapText="1"/>
    </xf>
    <xf numFmtId="10" fontId="0" fillId="16" borderId="11" xfId="2" applyNumberFormat="1" applyFont="1" applyFill="1" applyBorder="1" applyAlignment="1">
      <alignment vertical="center"/>
    </xf>
    <xf numFmtId="0" fontId="0" fillId="16" borderId="12" xfId="0" applyFill="1" applyBorder="1" applyAlignment="1">
      <alignment vertical="center" wrapText="1"/>
    </xf>
    <xf numFmtId="10" fontId="0" fillId="16" borderId="12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0" fontId="0" fillId="0" borderId="0" xfId="0" applyNumberFormat="1"/>
    <xf numFmtId="2" fontId="0" fillId="0" borderId="0" xfId="0" applyNumberFormat="1"/>
    <xf numFmtId="9" fontId="0" fillId="0" borderId="0" xfId="2" applyFont="1"/>
    <xf numFmtId="171" fontId="0" fillId="0" borderId="0" xfId="0" applyNumberFormat="1"/>
    <xf numFmtId="0" fontId="3" fillId="17" borderId="71" xfId="0" applyFont="1" applyFill="1" applyBorder="1" applyAlignment="1">
      <alignment wrapText="1"/>
    </xf>
    <xf numFmtId="164" fontId="3" fillId="17" borderId="59" xfId="0" applyNumberFormat="1" applyFont="1" applyFill="1" applyBorder="1" applyAlignment="1">
      <alignment vertical="center"/>
    </xf>
    <xf numFmtId="164" fontId="3" fillId="17" borderId="10" xfId="0" applyNumberFormat="1" applyFont="1" applyFill="1" applyBorder="1" applyAlignment="1">
      <alignment vertical="center"/>
    </xf>
    <xf numFmtId="164" fontId="3" fillId="17" borderId="60" xfId="0" applyNumberFormat="1" applyFont="1" applyFill="1" applyBorder="1" applyAlignment="1">
      <alignment vertical="center"/>
    </xf>
    <xf numFmtId="164" fontId="3" fillId="17" borderId="3" xfId="0" applyNumberFormat="1" applyFont="1" applyFill="1" applyBorder="1" applyAlignment="1">
      <alignment vertical="center"/>
    </xf>
    <xf numFmtId="0" fontId="3" fillId="17" borderId="81" xfId="0" applyFont="1" applyFill="1" applyBorder="1" applyAlignment="1">
      <alignment wrapText="1"/>
    </xf>
    <xf numFmtId="0" fontId="3" fillId="17" borderId="4" xfId="0" applyFont="1" applyFill="1" applyBorder="1" applyAlignment="1">
      <alignment wrapText="1"/>
    </xf>
    <xf numFmtId="164" fontId="3" fillId="17" borderId="98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16" fillId="0" borderId="41" xfId="0" applyFont="1" applyFill="1" applyBorder="1" applyAlignment="1">
      <alignment vertical="center"/>
    </xf>
    <xf numFmtId="164" fontId="16" fillId="0" borderId="18" xfId="1" applyNumberFormat="1" applyFont="1" applyFill="1" applyBorder="1" applyAlignment="1">
      <alignment vertical="center"/>
    </xf>
    <xf numFmtId="164" fontId="16" fillId="0" borderId="19" xfId="1" applyNumberFormat="1" applyFont="1" applyFill="1" applyBorder="1" applyAlignment="1">
      <alignment vertical="center"/>
    </xf>
    <xf numFmtId="164" fontId="16" fillId="0" borderId="20" xfId="1" applyNumberFormat="1" applyFont="1" applyFill="1" applyBorder="1" applyAlignment="1">
      <alignment vertical="center"/>
    </xf>
    <xf numFmtId="164" fontId="16" fillId="0" borderId="85" xfId="1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center"/>
    </xf>
    <xf numFmtId="164" fontId="16" fillId="0" borderId="22" xfId="1" applyNumberFormat="1" applyFont="1" applyBorder="1"/>
    <xf numFmtId="0" fontId="16" fillId="0" borderId="57" xfId="0" applyFont="1" applyBorder="1"/>
    <xf numFmtId="0" fontId="4" fillId="0" borderId="4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6" fillId="0" borderId="41" xfId="0" applyFont="1" applyBorder="1"/>
    <xf numFmtId="42" fontId="28" fillId="20" borderId="1" xfId="0" applyNumberFormat="1" applyFont="1" applyFill="1" applyBorder="1"/>
    <xf numFmtId="0" fontId="28" fillId="12" borderId="22" xfId="0" applyFont="1" applyFill="1" applyBorder="1" applyAlignment="1">
      <alignment horizontal="center"/>
    </xf>
    <xf numFmtId="42" fontId="28" fillId="20" borderId="22" xfId="0" applyNumberFormat="1" applyFont="1" applyFill="1" applyBorder="1"/>
    <xf numFmtId="42" fontId="28" fillId="16" borderId="1" xfId="0" applyNumberFormat="1" applyFont="1" applyFill="1" applyBorder="1"/>
    <xf numFmtId="42" fontId="28" fillId="16" borderId="22" xfId="0" applyNumberFormat="1" applyFont="1" applyFill="1" applyBorder="1"/>
    <xf numFmtId="42" fontId="27" fillId="16" borderId="1" xfId="0" applyNumberFormat="1" applyFont="1" applyFill="1" applyBorder="1"/>
    <xf numFmtId="42" fontId="27" fillId="16" borderId="22" xfId="0" applyNumberFormat="1" applyFont="1" applyFill="1" applyBorder="1"/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42" fontId="16" fillId="0" borderId="82" xfId="0" applyNumberFormat="1" applyFont="1" applyBorder="1"/>
    <xf numFmtId="0" fontId="1" fillId="0" borderId="17" xfId="0" applyFont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0" fillId="0" borderId="84" xfId="0" applyBorder="1"/>
    <xf numFmtId="0" fontId="0" fillId="12" borderId="17" xfId="0" applyFill="1" applyBorder="1"/>
    <xf numFmtId="42" fontId="0" fillId="0" borderId="83" xfId="0" applyNumberFormat="1" applyBorder="1"/>
    <xf numFmtId="42" fontId="0" fillId="0" borderId="82" xfId="0" applyNumberFormat="1" applyBorder="1"/>
    <xf numFmtId="42" fontId="0" fillId="0" borderId="96" xfId="0" applyNumberFormat="1" applyBorder="1"/>
    <xf numFmtId="42" fontId="0" fillId="0" borderId="83" xfId="0" applyNumberFormat="1" applyFill="1" applyBorder="1"/>
    <xf numFmtId="42" fontId="27" fillId="0" borderId="82" xfId="0" applyNumberFormat="1" applyFont="1" applyBorder="1"/>
    <xf numFmtId="42" fontId="0" fillId="0" borderId="84" xfId="0" applyNumberFormat="1" applyBorder="1"/>
    <xf numFmtId="42" fontId="27" fillId="19" borderId="17" xfId="0" applyNumberFormat="1" applyFont="1" applyFill="1" applyBorder="1"/>
    <xf numFmtId="42" fontId="27" fillId="0" borderId="83" xfId="0" applyNumberFormat="1" applyFont="1" applyBorder="1"/>
    <xf numFmtId="42" fontId="27" fillId="0" borderId="82" xfId="0" applyNumberFormat="1" applyFont="1" applyFill="1" applyBorder="1"/>
    <xf numFmtId="42" fontId="32" fillId="22" borderId="17" xfId="0" applyNumberFormat="1" applyFont="1" applyFill="1" applyBorder="1"/>
    <xf numFmtId="9" fontId="0" fillId="0" borderId="57" xfId="2" applyFont="1" applyBorder="1" applyAlignment="1">
      <alignment horizontal="center"/>
    </xf>
    <xf numFmtId="42" fontId="4" fillId="16" borderId="36" xfId="0" applyNumberFormat="1" applyFont="1" applyFill="1" applyBorder="1"/>
    <xf numFmtId="42" fontId="0" fillId="0" borderId="59" xfId="0" applyNumberFormat="1" applyBorder="1"/>
    <xf numFmtId="42" fontId="0" fillId="0" borderId="60" xfId="0" applyNumberFormat="1" applyBorder="1"/>
    <xf numFmtId="42" fontId="0" fillId="0" borderId="98" xfId="0" applyNumberFormat="1" applyBorder="1"/>
    <xf numFmtId="42" fontId="27" fillId="16" borderId="21" xfId="0" applyNumberFormat="1" applyFont="1" applyFill="1" applyBorder="1"/>
    <xf numFmtId="42" fontId="27" fillId="16" borderId="82" xfId="0" applyNumberFormat="1" applyFont="1" applyFill="1" applyBorder="1"/>
    <xf numFmtId="164" fontId="27" fillId="16" borderId="82" xfId="0" applyNumberFormat="1" applyFont="1" applyFill="1" applyBorder="1"/>
    <xf numFmtId="0" fontId="0" fillId="0" borderId="26" xfId="0" applyFill="1" applyBorder="1"/>
    <xf numFmtId="0" fontId="0" fillId="0" borderId="65" xfId="0" applyFill="1" applyBorder="1"/>
    <xf numFmtId="0" fontId="16" fillId="0" borderId="2" xfId="0" applyFont="1" applyFill="1" applyBorder="1" applyAlignment="1">
      <alignment wrapText="1"/>
    </xf>
    <xf numFmtId="0" fontId="16" fillId="0" borderId="16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65" xfId="0" applyFont="1" applyFill="1" applyBorder="1" applyAlignment="1">
      <alignment horizontal="left" wrapText="1"/>
    </xf>
    <xf numFmtId="164" fontId="16" fillId="0" borderId="21" xfId="0" applyNumberFormat="1" applyFont="1" applyFill="1" applyBorder="1"/>
    <xf numFmtId="164" fontId="16" fillId="0" borderId="23" xfId="0" applyNumberFormat="1" applyFont="1" applyFill="1" applyBorder="1"/>
    <xf numFmtId="164" fontId="3" fillId="17" borderId="76" xfId="0" applyNumberFormat="1" applyFont="1" applyFill="1" applyBorder="1" applyAlignment="1">
      <alignment vertical="center"/>
    </xf>
    <xf numFmtId="164" fontId="3" fillId="17" borderId="63" xfId="0" applyNumberFormat="1" applyFont="1" applyFill="1" applyBorder="1" applyAlignment="1">
      <alignment vertical="center"/>
    </xf>
    <xf numFmtId="164" fontId="16" fillId="0" borderId="82" xfId="0" applyNumberFormat="1" applyFont="1" applyFill="1" applyBorder="1"/>
    <xf numFmtId="164" fontId="3" fillId="17" borderId="33" xfId="0" applyNumberFormat="1" applyFont="1" applyFill="1" applyBorder="1" applyAlignment="1">
      <alignment vertical="center"/>
    </xf>
    <xf numFmtId="0" fontId="16" fillId="0" borderId="40" xfId="0" applyFont="1" applyBorder="1"/>
    <xf numFmtId="0" fontId="16" fillId="0" borderId="7" xfId="0" applyFont="1" applyBorder="1" applyAlignment="1">
      <alignment vertical="center" wrapText="1"/>
    </xf>
    <xf numFmtId="0" fontId="16" fillId="0" borderId="7" xfId="0" applyFont="1" applyBorder="1"/>
    <xf numFmtId="164" fontId="16" fillId="0" borderId="9" xfId="1" applyNumberFormat="1" applyFont="1" applyBorder="1"/>
    <xf numFmtId="164" fontId="16" fillId="0" borderId="9" xfId="1" applyNumberFormat="1" applyFont="1" applyBorder="1" applyAlignment="1">
      <alignment horizontal="left" vertical="center"/>
    </xf>
    <xf numFmtId="0" fontId="4" fillId="0" borderId="80" xfId="0" applyFont="1" applyBorder="1" applyAlignment="1">
      <alignment horizontal="center" vertical="center"/>
    </xf>
    <xf numFmtId="0" fontId="4" fillId="0" borderId="66" xfId="0" applyFont="1" applyBorder="1"/>
    <xf numFmtId="0" fontId="16" fillId="0" borderId="29" xfId="0" applyFont="1" applyBorder="1"/>
    <xf numFmtId="0" fontId="4" fillId="16" borderId="27" xfId="0" applyFont="1" applyFill="1" applyBorder="1" applyAlignment="1">
      <alignment horizontal="center" vertical="center"/>
    </xf>
    <xf numFmtId="0" fontId="4" fillId="16" borderId="29" xfId="0" applyFont="1" applyFill="1" applyBorder="1" applyAlignment="1">
      <alignment horizontal="center" vertical="center"/>
    </xf>
    <xf numFmtId="164" fontId="0" fillId="0" borderId="27" xfId="1" applyNumberFormat="1" applyFont="1" applyBorder="1" applyAlignment="1">
      <alignment vertical="center"/>
    </xf>
    <xf numFmtId="0" fontId="0" fillId="0" borderId="95" xfId="0" applyBorder="1"/>
    <xf numFmtId="0" fontId="0" fillId="6" borderId="84" xfId="0" applyFill="1" applyBorder="1" applyAlignment="1"/>
    <xf numFmtId="0" fontId="0" fillId="0" borderId="33" xfId="0" applyBorder="1" applyAlignment="1"/>
    <xf numFmtId="0" fontId="1" fillId="16" borderId="80" xfId="0" applyFont="1" applyFill="1" applyBorder="1" applyAlignment="1">
      <alignment horizontal="center"/>
    </xf>
    <xf numFmtId="0" fontId="1" fillId="16" borderId="29" xfId="0" applyFont="1" applyFill="1" applyBorder="1" applyAlignment="1">
      <alignment horizontal="center"/>
    </xf>
    <xf numFmtId="0" fontId="1" fillId="16" borderId="19" xfId="0" applyFont="1" applyFill="1" applyBorder="1" applyAlignment="1">
      <alignment horizontal="center" vertical="center"/>
    </xf>
    <xf numFmtId="0" fontId="1" fillId="16" borderId="20" xfId="0" applyFont="1" applyFill="1" applyBorder="1" applyAlignment="1">
      <alignment horizontal="center" vertical="center"/>
    </xf>
    <xf numFmtId="0" fontId="16" fillId="0" borderId="55" xfId="0" applyFont="1" applyBorder="1" applyAlignment="1"/>
    <xf numFmtId="0" fontId="16" fillId="0" borderId="26" xfId="0" applyFont="1" applyBorder="1" applyAlignment="1">
      <alignment horizontal="left"/>
    </xf>
    <xf numFmtId="164" fontId="16" fillId="0" borderId="1" xfId="0" applyNumberFormat="1" applyFont="1" applyBorder="1" applyAlignment="1">
      <alignment horizontal="center" vertical="center"/>
    </xf>
    <xf numFmtId="0" fontId="12" fillId="9" borderId="22" xfId="0" applyFont="1" applyFill="1" applyBorder="1"/>
    <xf numFmtId="164" fontId="10" fillId="9" borderId="22" xfId="0" applyNumberFormat="1" applyFont="1" applyFill="1" applyBorder="1"/>
    <xf numFmtId="44" fontId="12" fillId="9" borderId="22" xfId="0" applyNumberFormat="1" applyFont="1" applyFill="1" applyBorder="1"/>
    <xf numFmtId="42" fontId="12" fillId="0" borderId="22" xfId="0" applyNumberFormat="1" applyFont="1" applyBorder="1"/>
    <xf numFmtId="164" fontId="12" fillId="0" borderId="22" xfId="0" applyNumberFormat="1" applyFont="1" applyBorder="1"/>
    <xf numFmtId="0" fontId="27" fillId="0" borderId="55" xfId="0" applyFont="1" applyBorder="1"/>
    <xf numFmtId="42" fontId="27" fillId="0" borderId="82" xfId="0" applyNumberFormat="1" applyFont="1" applyFill="1" applyBorder="1" applyAlignment="1"/>
    <xf numFmtId="164" fontId="3" fillId="17" borderId="59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23" xfId="0" applyBorder="1"/>
    <xf numFmtId="0" fontId="0" fillId="0" borderId="25" xfId="0" applyBorder="1"/>
    <xf numFmtId="0" fontId="12" fillId="0" borderId="0" xfId="0" applyFont="1" applyBorder="1" applyAlignment="1"/>
    <xf numFmtId="0" fontId="12" fillId="0" borderId="17" xfId="0" applyFont="1" applyBorder="1" applyAlignment="1">
      <alignment horizontal="center" vertical="center"/>
    </xf>
    <xf numFmtId="164" fontId="12" fillId="0" borderId="8" xfId="1" applyNumberFormat="1" applyFont="1" applyBorder="1"/>
    <xf numFmtId="42" fontId="12" fillId="0" borderId="8" xfId="0" applyNumberFormat="1" applyFont="1" applyBorder="1"/>
    <xf numFmtId="0" fontId="0" fillId="0" borderId="69" xfId="0" applyBorder="1"/>
    <xf numFmtId="164" fontId="1" fillId="9" borderId="1" xfId="0" applyNumberFormat="1" applyFont="1" applyFill="1" applyBorder="1"/>
    <xf numFmtId="164" fontId="1" fillId="9" borderId="22" xfId="0" applyNumberFormat="1" applyFont="1" applyFill="1" applyBorder="1"/>
    <xf numFmtId="164" fontId="14" fillId="0" borderId="1" xfId="1" applyNumberFormat="1" applyFont="1" applyFill="1" applyBorder="1"/>
    <xf numFmtId="0" fontId="0" fillId="6" borderId="1" xfId="0" applyFill="1" applyBorder="1" applyAlignment="1"/>
    <xf numFmtId="0" fontId="0" fillId="0" borderId="1" xfId="0" applyBorder="1" applyAlignment="1"/>
    <xf numFmtId="42" fontId="28" fillId="9" borderId="1" xfId="0" applyNumberFormat="1" applyFont="1" applyFill="1" applyBorder="1"/>
    <xf numFmtId="0" fontId="4" fillId="16" borderId="76" xfId="0" applyFont="1" applyFill="1" applyBorder="1" applyAlignment="1">
      <alignment horizontal="center" vertical="center"/>
    </xf>
    <xf numFmtId="164" fontId="16" fillId="0" borderId="18" xfId="1" applyNumberFormat="1" applyFont="1" applyFill="1" applyBorder="1"/>
    <xf numFmtId="164" fontId="16" fillId="0" borderId="19" xfId="1" applyNumberFormat="1" applyFont="1" applyFill="1" applyBorder="1" applyAlignment="1">
      <alignment horizontal="center"/>
    </xf>
    <xf numFmtId="164" fontId="16" fillId="0" borderId="20" xfId="1" applyNumberFormat="1" applyFont="1" applyFill="1" applyBorder="1" applyAlignment="1"/>
    <xf numFmtId="164" fontId="3" fillId="17" borderId="68" xfId="0" applyNumberFormat="1" applyFont="1" applyFill="1" applyBorder="1" applyAlignment="1">
      <alignment horizontal="center" vertical="center"/>
    </xf>
    <xf numFmtId="164" fontId="3" fillId="17" borderId="11" xfId="0" applyNumberFormat="1" applyFont="1" applyFill="1" applyBorder="1" applyAlignment="1">
      <alignment horizontal="center" vertical="center"/>
    </xf>
    <xf numFmtId="164" fontId="3" fillId="17" borderId="69" xfId="0" applyNumberFormat="1" applyFont="1" applyFill="1" applyBorder="1" applyAlignment="1">
      <alignment horizontal="center" vertical="center"/>
    </xf>
    <xf numFmtId="164" fontId="3" fillId="17" borderId="84" xfId="0" applyNumberFormat="1" applyFont="1" applyFill="1" applyBorder="1" applyAlignment="1">
      <alignment horizontal="center" vertical="center"/>
    </xf>
    <xf numFmtId="164" fontId="3" fillId="17" borderId="3" xfId="0" applyNumberFormat="1" applyFont="1" applyFill="1" applyBorder="1" applyAlignment="1">
      <alignment horizontal="center" vertical="center"/>
    </xf>
    <xf numFmtId="0" fontId="27" fillId="0" borderId="96" xfId="0" applyFont="1" applyFill="1" applyBorder="1" applyAlignment="1">
      <alignment horizontal="center" vertical="center"/>
    </xf>
    <xf numFmtId="164" fontId="0" fillId="0" borderId="44" xfId="1" applyNumberFormat="1" applyFont="1" applyBorder="1" applyAlignment="1">
      <alignment vertical="center"/>
    </xf>
    <xf numFmtId="0" fontId="4" fillId="16" borderId="43" xfId="0" applyFont="1" applyFill="1" applyBorder="1" applyAlignment="1">
      <alignment horizontal="center" vertical="center"/>
    </xf>
    <xf numFmtId="164" fontId="0" fillId="6" borderId="8" xfId="1" applyNumberFormat="1" applyFont="1" applyFill="1" applyBorder="1"/>
    <xf numFmtId="0" fontId="4" fillId="0" borderId="51" xfId="0" applyFont="1" applyFill="1" applyBorder="1" applyAlignment="1">
      <alignment horizontal="center" vertical="center"/>
    </xf>
    <xf numFmtId="0" fontId="0" fillId="0" borderId="53" xfId="0" applyBorder="1"/>
    <xf numFmtId="42" fontId="16" fillId="0" borderId="5" xfId="0" applyNumberFormat="1" applyFont="1" applyBorder="1"/>
    <xf numFmtId="0" fontId="12" fillId="0" borderId="60" xfId="0" applyFont="1" applyBorder="1"/>
    <xf numFmtId="42" fontId="3" fillId="23" borderId="28" xfId="0" applyNumberFormat="1" applyFont="1" applyFill="1" applyBorder="1"/>
    <xf numFmtId="0" fontId="12" fillId="0" borderId="81" xfId="0" applyFont="1" applyBorder="1"/>
    <xf numFmtId="0" fontId="12" fillId="0" borderId="5" xfId="0" applyFont="1" applyBorder="1" applyAlignment="1">
      <alignment horizontal="left"/>
    </xf>
    <xf numFmtId="1" fontId="3" fillId="23" borderId="39" xfId="0" applyNumberFormat="1" applyFont="1" applyFill="1" applyBorder="1" applyAlignment="1">
      <alignment horizontal="left"/>
    </xf>
    <xf numFmtId="1" fontId="32" fillId="23" borderId="99" xfId="0" applyNumberFormat="1" applyFont="1" applyFill="1" applyBorder="1" applyAlignment="1">
      <alignment horizontal="left"/>
    </xf>
    <xf numFmtId="1" fontId="12" fillId="0" borderId="81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9" fontId="0" fillId="0" borderId="1" xfId="2" applyFont="1" applyFill="1" applyBorder="1"/>
    <xf numFmtId="2" fontId="0" fillId="0" borderId="1" xfId="0" applyNumberFormat="1" applyFill="1" applyBorder="1"/>
    <xf numFmtId="164" fontId="0" fillId="0" borderId="0" xfId="0" applyNumberFormat="1"/>
    <xf numFmtId="168" fontId="37" fillId="0" borderId="0" xfId="3" applyNumberFormat="1" applyFont="1" applyFill="1" applyBorder="1" applyAlignment="1">
      <alignment horizontal="right" vertical="justify" wrapText="1"/>
    </xf>
    <xf numFmtId="168" fontId="35" fillId="0" borderId="0" xfId="3" applyNumberFormat="1" applyFont="1" applyFill="1" applyBorder="1" applyAlignment="1">
      <alignment vertical="center"/>
    </xf>
    <xf numFmtId="0" fontId="27" fillId="0" borderId="27" xfId="0" applyFont="1" applyBorder="1" applyAlignment="1"/>
    <xf numFmtId="0" fontId="16" fillId="14" borderId="20" xfId="0" applyFont="1" applyFill="1" applyBorder="1" applyAlignment="1">
      <alignment horizontal="center" vertical="center"/>
    </xf>
    <xf numFmtId="0" fontId="16" fillId="14" borderId="22" xfId="0" applyFont="1" applyFill="1" applyBorder="1" applyAlignment="1">
      <alignment horizontal="center" vertical="center"/>
    </xf>
    <xf numFmtId="42" fontId="27" fillId="0" borderId="1" xfId="0" applyNumberFormat="1" applyFont="1" applyBorder="1" applyAlignment="1">
      <alignment vertical="center"/>
    </xf>
    <xf numFmtId="42" fontId="27" fillId="0" borderId="22" xfId="0" applyNumberFormat="1" applyFont="1" applyBorder="1" applyAlignment="1">
      <alignment vertical="center"/>
    </xf>
    <xf numFmtId="42" fontId="27" fillId="0" borderId="57" xfId="0" applyNumberFormat="1" applyFont="1" applyBorder="1"/>
    <xf numFmtId="42" fontId="32" fillId="23" borderId="25" xfId="0" applyNumberFormat="1" applyFont="1" applyFill="1" applyBorder="1" applyAlignment="1">
      <alignment vertical="center"/>
    </xf>
    <xf numFmtId="0" fontId="27" fillId="0" borderId="24" xfId="0" applyFont="1" applyBorder="1"/>
    <xf numFmtId="0" fontId="27" fillId="0" borderId="25" xfId="0" applyFont="1" applyBorder="1"/>
    <xf numFmtId="42" fontId="28" fillId="0" borderId="8" xfId="0" applyNumberFormat="1" applyFont="1" applyBorder="1"/>
    <xf numFmtId="0" fontId="10" fillId="0" borderId="16" xfId="0" applyFont="1" applyFill="1" applyBorder="1" applyAlignment="1">
      <alignment horizontal="center"/>
    </xf>
    <xf numFmtId="0" fontId="10" fillId="0" borderId="8" xfId="0" applyFont="1" applyBorder="1"/>
    <xf numFmtId="9" fontId="10" fillId="0" borderId="16" xfId="2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0" fontId="10" fillId="9" borderId="19" xfId="0" applyFont="1" applyFill="1" applyBorder="1" applyAlignment="1">
      <alignment horizontal="center"/>
    </xf>
    <xf numFmtId="0" fontId="10" fillId="9" borderId="20" xfId="0" applyFont="1" applyFill="1" applyBorder="1" applyAlignment="1">
      <alignment horizontal="center"/>
    </xf>
    <xf numFmtId="0" fontId="12" fillId="9" borderId="59" xfId="0" applyFont="1" applyFill="1" applyBorder="1"/>
    <xf numFmtId="164" fontId="12" fillId="0" borderId="21" xfId="1" applyNumberFormat="1" applyFont="1" applyBorder="1"/>
    <xf numFmtId="0" fontId="12" fillId="0" borderId="26" xfId="0" applyFont="1" applyBorder="1"/>
    <xf numFmtId="0" fontId="0" fillId="0" borderId="59" xfId="0" applyBorder="1"/>
    <xf numFmtId="0" fontId="0" fillId="0" borderId="39" xfId="0" applyBorder="1"/>
    <xf numFmtId="164" fontId="12" fillId="0" borderId="23" xfId="1" applyNumberFormat="1" applyFont="1" applyBorder="1"/>
    <xf numFmtId="164" fontId="12" fillId="0" borderId="25" xfId="1" applyNumberFormat="1" applyFont="1" applyBorder="1"/>
    <xf numFmtId="0" fontId="0" fillId="0" borderId="40" xfId="0" applyBorder="1"/>
    <xf numFmtId="164" fontId="12" fillId="0" borderId="21" xfId="0" applyNumberFormat="1" applyFont="1" applyBorder="1"/>
    <xf numFmtId="164" fontId="12" fillId="0" borderId="59" xfId="0" applyNumberFormat="1" applyFont="1" applyBorder="1"/>
    <xf numFmtId="164" fontId="12" fillId="0" borderId="71" xfId="0" applyNumberFormat="1" applyFont="1" applyBorder="1"/>
    <xf numFmtId="164" fontId="12" fillId="0" borderId="18" xfId="1" applyNumberFormat="1" applyFont="1" applyBorder="1"/>
    <xf numFmtId="164" fontId="12" fillId="0" borderId="19" xfId="1" applyNumberFormat="1" applyFont="1" applyBorder="1"/>
    <xf numFmtId="164" fontId="12" fillId="0" borderId="20" xfId="1" applyNumberFormat="1" applyFont="1" applyBorder="1"/>
    <xf numFmtId="164" fontId="16" fillId="9" borderId="68" xfId="1" applyNumberFormat="1" applyFont="1" applyFill="1" applyBorder="1"/>
    <xf numFmtId="164" fontId="16" fillId="9" borderId="15" xfId="1" applyNumberFormat="1" applyFont="1" applyFill="1" applyBorder="1"/>
    <xf numFmtId="164" fontId="16" fillId="9" borderId="58" xfId="1" applyNumberFormat="1" applyFont="1" applyFill="1" applyBorder="1"/>
    <xf numFmtId="164" fontId="4" fillId="9" borderId="85" xfId="0" applyNumberFormat="1" applyFont="1" applyFill="1" applyBorder="1"/>
    <xf numFmtId="164" fontId="4" fillId="9" borderId="12" xfId="0" applyNumberFormat="1" applyFont="1" applyFill="1" applyBorder="1"/>
    <xf numFmtId="164" fontId="4" fillId="9" borderId="64" xfId="0" applyNumberFormat="1" applyFont="1" applyFill="1" applyBorder="1"/>
    <xf numFmtId="164" fontId="16" fillId="9" borderId="85" xfId="1" applyNumberFormat="1" applyFont="1" applyFill="1" applyBorder="1"/>
    <xf numFmtId="164" fontId="16" fillId="9" borderId="12" xfId="1" applyNumberFormat="1" applyFont="1" applyFill="1" applyBorder="1"/>
    <xf numFmtId="164" fontId="16" fillId="9" borderId="64" xfId="1" applyNumberFormat="1" applyFont="1" applyFill="1" applyBorder="1"/>
    <xf numFmtId="164" fontId="3" fillId="23" borderId="18" xfId="0" applyNumberFormat="1" applyFont="1" applyFill="1" applyBorder="1"/>
    <xf numFmtId="164" fontId="3" fillId="23" borderId="20" xfId="0" applyNumberFormat="1" applyFont="1" applyFill="1" applyBorder="1"/>
    <xf numFmtId="164" fontId="3" fillId="23" borderId="23" xfId="0" applyNumberFormat="1" applyFont="1" applyFill="1" applyBorder="1"/>
    <xf numFmtId="0" fontId="0" fillId="6" borderId="8" xfId="0" applyFill="1" applyBorder="1" applyAlignment="1"/>
    <xf numFmtId="164" fontId="14" fillId="0" borderId="1" xfId="0" applyNumberFormat="1" applyFont="1" applyFill="1" applyBorder="1"/>
    <xf numFmtId="164" fontId="33" fillId="0" borderId="1" xfId="1" applyNumberFormat="1" applyFont="1" applyFill="1" applyBorder="1"/>
    <xf numFmtId="164" fontId="12" fillId="0" borderId="1" xfId="1" applyNumberFormat="1" applyFont="1" applyFill="1" applyBorder="1"/>
    <xf numFmtId="164" fontId="27" fillId="8" borderId="57" xfId="0" applyNumberFormat="1" applyFont="1" applyFill="1" applyBorder="1" applyAlignment="1">
      <alignment horizontal="center"/>
    </xf>
    <xf numFmtId="42" fontId="27" fillId="0" borderId="10" xfId="0" applyNumberFormat="1" applyFont="1" applyBorder="1"/>
    <xf numFmtId="42" fontId="27" fillId="0" borderId="60" xfId="0" applyNumberFormat="1" applyFont="1" applyBorder="1"/>
    <xf numFmtId="0" fontId="0" fillId="0" borderId="6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0" fillId="27" borderId="1" xfId="0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164" fontId="16" fillId="0" borderId="18" xfId="1" applyNumberFormat="1" applyFont="1" applyBorder="1"/>
    <xf numFmtId="164" fontId="16" fillId="0" borderId="19" xfId="1" applyNumberFormat="1" applyFont="1" applyBorder="1"/>
    <xf numFmtId="0" fontId="12" fillId="0" borderId="44" xfId="0" applyFont="1" applyBorder="1" applyAlignment="1">
      <alignment horizontal="center"/>
    </xf>
    <xf numFmtId="164" fontId="16" fillId="0" borderId="43" xfId="1" applyNumberFormat="1" applyFont="1" applyBorder="1"/>
    <xf numFmtId="164" fontId="16" fillId="0" borderId="8" xfId="1" applyNumberFormat="1" applyFont="1" applyBorder="1" applyAlignment="1">
      <alignment vertical="center"/>
    </xf>
    <xf numFmtId="164" fontId="3" fillId="17" borderId="44" xfId="0" applyNumberFormat="1" applyFont="1" applyFill="1" applyBorder="1" applyAlignment="1">
      <alignment vertical="center"/>
    </xf>
    <xf numFmtId="164" fontId="16" fillId="0" borderId="97" xfId="1" applyNumberFormat="1" applyFont="1" applyBorder="1"/>
    <xf numFmtId="164" fontId="16" fillId="0" borderId="82" xfId="1" applyNumberFormat="1" applyFont="1" applyBorder="1"/>
    <xf numFmtId="164" fontId="16" fillId="0" borderId="20" xfId="1" applyNumberFormat="1" applyFont="1" applyBorder="1"/>
    <xf numFmtId="164" fontId="16" fillId="0" borderId="40" xfId="1" applyNumberFormat="1" applyFont="1" applyFill="1" applyBorder="1"/>
    <xf numFmtId="164" fontId="16" fillId="0" borderId="55" xfId="1" applyNumberFormat="1" applyFont="1" applyFill="1" applyBorder="1"/>
    <xf numFmtId="164" fontId="16" fillId="0" borderId="7" xfId="1" applyNumberFormat="1" applyFont="1" applyFill="1" applyBorder="1"/>
    <xf numFmtId="164" fontId="16" fillId="0" borderId="57" xfId="1" applyNumberFormat="1" applyFont="1" applyFill="1" applyBorder="1"/>
    <xf numFmtId="164" fontId="16" fillId="0" borderId="16" xfId="1" applyNumberFormat="1" applyFont="1" applyFill="1" applyBorder="1"/>
    <xf numFmtId="164" fontId="3" fillId="17" borderId="68" xfId="0" applyNumberFormat="1" applyFont="1" applyFill="1" applyBorder="1" applyAlignment="1">
      <alignment vertical="center"/>
    </xf>
    <xf numFmtId="164" fontId="3" fillId="17" borderId="11" xfId="0" applyNumberFormat="1" applyFont="1" applyFill="1" applyBorder="1" applyAlignment="1">
      <alignment vertical="center"/>
    </xf>
    <xf numFmtId="164" fontId="3" fillId="17" borderId="69" xfId="0" applyNumberFormat="1" applyFont="1" applyFill="1" applyBorder="1" applyAlignment="1">
      <alignment vertical="center"/>
    </xf>
    <xf numFmtId="164" fontId="16" fillId="0" borderId="41" xfId="1" applyNumberFormat="1" applyFont="1" applyFill="1" applyBorder="1"/>
    <xf numFmtId="164" fontId="16" fillId="0" borderId="26" xfId="1" applyNumberFormat="1" applyFont="1" applyFill="1" applyBorder="1"/>
    <xf numFmtId="164" fontId="16" fillId="0" borderId="24" xfId="1" applyNumberFormat="1" applyFont="1" applyFill="1" applyBorder="1"/>
    <xf numFmtId="164" fontId="16" fillId="0" borderId="54" xfId="1" applyNumberFormat="1" applyFont="1" applyFill="1" applyBorder="1"/>
    <xf numFmtId="164" fontId="16" fillId="0" borderId="55" xfId="1" applyNumberFormat="1" applyFont="1" applyFill="1" applyBorder="1" applyAlignment="1">
      <alignment horizontal="center" vertical="center"/>
    </xf>
    <xf numFmtId="164" fontId="16" fillId="0" borderId="16" xfId="1" applyNumberFormat="1" applyFont="1" applyFill="1" applyBorder="1" applyAlignment="1">
      <alignment horizontal="center" vertical="center"/>
    </xf>
    <xf numFmtId="164" fontId="16" fillId="0" borderId="19" xfId="1" applyNumberFormat="1" applyFont="1" applyFill="1" applyBorder="1" applyAlignment="1">
      <alignment horizontal="center" vertical="center"/>
    </xf>
    <xf numFmtId="164" fontId="16" fillId="0" borderId="20" xfId="1" applyNumberFormat="1" applyFont="1" applyFill="1" applyBorder="1" applyAlignment="1">
      <alignment horizontal="center" vertical="center"/>
    </xf>
    <xf numFmtId="0" fontId="3" fillId="17" borderId="71" xfId="0" applyFont="1" applyFill="1" applyBorder="1" applyAlignment="1">
      <alignment vertical="center" wrapText="1"/>
    </xf>
    <xf numFmtId="164" fontId="16" fillId="0" borderId="68" xfId="1" applyNumberFormat="1" applyFont="1" applyFill="1" applyBorder="1" applyAlignment="1">
      <alignment vertical="center"/>
    </xf>
    <xf numFmtId="0" fontId="0" fillId="0" borderId="80" xfId="0" applyBorder="1"/>
    <xf numFmtId="0" fontId="0" fillId="0" borderId="66" xfId="0" applyBorder="1"/>
    <xf numFmtId="0" fontId="0" fillId="0" borderId="67" xfId="0" applyBorder="1"/>
    <xf numFmtId="164" fontId="12" fillId="0" borderId="80" xfId="1" applyNumberFormat="1" applyFont="1" applyBorder="1" applyAlignment="1">
      <alignment horizontal="center" vertical="center"/>
    </xf>
    <xf numFmtId="164" fontId="12" fillId="0" borderId="19" xfId="1" applyNumberFormat="1" applyFont="1" applyBorder="1" applyAlignment="1">
      <alignment horizontal="center" vertical="center"/>
    </xf>
    <xf numFmtId="164" fontId="12" fillId="0" borderId="29" xfId="1" applyNumberFormat="1" applyFont="1" applyBorder="1" applyAlignment="1">
      <alignment horizontal="center" vertical="center"/>
    </xf>
    <xf numFmtId="164" fontId="12" fillId="0" borderId="18" xfId="1" applyNumberFormat="1" applyFont="1" applyBorder="1" applyAlignment="1">
      <alignment horizontal="center" vertical="center"/>
    </xf>
    <xf numFmtId="0" fontId="16" fillId="0" borderId="16" xfId="0" applyFont="1" applyFill="1" applyBorder="1" applyAlignment="1">
      <alignment horizontal="left" wrapText="1"/>
    </xf>
    <xf numFmtId="164" fontId="16" fillId="0" borderId="56" xfId="1" applyNumberFormat="1" applyFont="1" applyFill="1" applyBorder="1" applyAlignment="1">
      <alignment vertical="center"/>
    </xf>
    <xf numFmtId="164" fontId="16" fillId="0" borderId="55" xfId="1" applyNumberFormat="1" applyFont="1" applyFill="1" applyBorder="1" applyAlignment="1">
      <alignment vertical="center"/>
    </xf>
    <xf numFmtId="164" fontId="16" fillId="0" borderId="15" xfId="1" applyNumberFormat="1" applyFont="1" applyFill="1" applyBorder="1" applyAlignment="1">
      <alignment vertical="center"/>
    </xf>
    <xf numFmtId="164" fontId="16" fillId="0" borderId="9" xfId="1" applyNumberFormat="1" applyFont="1" applyFill="1" applyBorder="1" applyAlignment="1">
      <alignment vertical="center"/>
    </xf>
    <xf numFmtId="164" fontId="16" fillId="0" borderId="10" xfId="1" applyNumberFormat="1" applyFont="1" applyFill="1" applyBorder="1" applyAlignment="1">
      <alignment vertical="center"/>
    </xf>
    <xf numFmtId="164" fontId="16" fillId="0" borderId="59" xfId="1" applyNumberFormat="1" applyFont="1" applyFill="1" applyBorder="1" applyAlignment="1">
      <alignment vertical="center"/>
    </xf>
    <xf numFmtId="164" fontId="16" fillId="0" borderId="55" xfId="0" applyNumberFormat="1" applyFont="1" applyFill="1" applyBorder="1" applyAlignment="1">
      <alignment vertical="center"/>
    </xf>
    <xf numFmtId="164" fontId="16" fillId="0" borderId="55" xfId="0" applyNumberFormat="1" applyFont="1" applyFill="1" applyBorder="1"/>
    <xf numFmtId="164" fontId="16" fillId="0" borderId="26" xfId="0" applyNumberFormat="1" applyFont="1" applyFill="1" applyBorder="1"/>
    <xf numFmtId="164" fontId="16" fillId="0" borderId="57" xfId="0" applyNumberFormat="1" applyFont="1" applyFill="1" applyBorder="1"/>
    <xf numFmtId="164" fontId="16" fillId="0" borderId="9" xfId="0" applyNumberFormat="1" applyFont="1" applyFill="1" applyBorder="1"/>
    <xf numFmtId="164" fontId="12" fillId="0" borderId="67" xfId="1" applyNumberFormat="1" applyFont="1" applyBorder="1" applyAlignment="1">
      <alignment horizontal="center" vertical="center"/>
    </xf>
    <xf numFmtId="164" fontId="16" fillId="0" borderId="58" xfId="1" applyNumberFormat="1" applyFont="1" applyFill="1" applyBorder="1" applyAlignment="1">
      <alignment vertical="center"/>
    </xf>
    <xf numFmtId="164" fontId="16" fillId="0" borderId="57" xfId="1" applyNumberFormat="1" applyFont="1" applyFill="1" applyBorder="1" applyAlignment="1">
      <alignment vertical="center"/>
    </xf>
    <xf numFmtId="164" fontId="16" fillId="0" borderId="16" xfId="1" applyNumberFormat="1" applyFont="1" applyFill="1" applyBorder="1" applyAlignment="1">
      <alignment vertical="center"/>
    </xf>
    <xf numFmtId="164" fontId="16" fillId="0" borderId="65" xfId="0" applyNumberFormat="1" applyFont="1" applyFill="1" applyBorder="1"/>
    <xf numFmtId="164" fontId="16" fillId="0" borderId="54" xfId="0" applyNumberFormat="1" applyFont="1" applyFill="1" applyBorder="1"/>
    <xf numFmtId="172" fontId="0" fillId="0" borderId="1" xfId="1" applyNumberFormat="1" applyFont="1" applyBorder="1" applyAlignment="1">
      <alignment vertical="center"/>
    </xf>
    <xf numFmtId="39" fontId="0" fillId="0" borderId="1" xfId="0" applyNumberFormat="1" applyBorder="1"/>
    <xf numFmtId="0" fontId="0" fillId="16" borderId="80" xfId="0" applyFill="1" applyBorder="1" applyAlignment="1">
      <alignment horizontal="left"/>
    </xf>
    <xf numFmtId="0" fontId="0" fillId="16" borderId="29" xfId="0" applyFill="1" applyBorder="1"/>
    <xf numFmtId="165" fontId="0" fillId="16" borderId="19" xfId="0" applyNumberFormat="1" applyFill="1" applyBorder="1"/>
    <xf numFmtId="0" fontId="0" fillId="16" borderId="20" xfId="0" applyFill="1" applyBorder="1"/>
    <xf numFmtId="0" fontId="0" fillId="0" borderId="5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/>
    <xf numFmtId="42" fontId="3" fillId="23" borderId="38" xfId="0" applyNumberFormat="1" applyFont="1" applyFill="1" applyBorder="1"/>
    <xf numFmtId="14" fontId="16" fillId="14" borderId="60" xfId="0" applyNumberFormat="1" applyFont="1" applyFill="1" applyBorder="1" applyAlignment="1">
      <alignment horizontal="center" vertical="center"/>
    </xf>
    <xf numFmtId="0" fontId="12" fillId="0" borderId="56" xfId="0" applyFont="1" applyBorder="1" applyAlignment="1"/>
    <xf numFmtId="0" fontId="12" fillId="0" borderId="58" xfId="0" applyFont="1" applyBorder="1" applyAlignment="1"/>
    <xf numFmtId="164" fontId="12" fillId="0" borderId="11" xfId="1" applyNumberFormat="1" applyFont="1" applyFill="1" applyBorder="1"/>
    <xf numFmtId="164" fontId="0" fillId="26" borderId="18" xfId="1" applyNumberFormat="1" applyFont="1" applyFill="1" applyBorder="1"/>
    <xf numFmtId="164" fontId="0" fillId="26" borderId="23" xfId="1" applyNumberFormat="1" applyFont="1" applyFill="1" applyBorder="1"/>
    <xf numFmtId="164" fontId="3" fillId="23" borderId="39" xfId="0" applyNumberFormat="1" applyFont="1" applyFill="1" applyBorder="1" applyAlignment="1">
      <alignment vertical="center"/>
    </xf>
    <xf numFmtId="164" fontId="0" fillId="23" borderId="44" xfId="0" applyNumberFormat="1" applyFill="1" applyBorder="1" applyAlignment="1">
      <alignment horizontal="center" vertical="center"/>
    </xf>
    <xf numFmtId="164" fontId="0" fillId="23" borderId="37" xfId="0" applyNumberFormat="1" applyFill="1" applyBorder="1"/>
    <xf numFmtId="164" fontId="0" fillId="23" borderId="43" xfId="0" applyNumberFormat="1" applyFill="1" applyBorder="1"/>
    <xf numFmtId="164" fontId="3" fillId="23" borderId="27" xfId="0" applyNumberFormat="1" applyFont="1" applyFill="1" applyBorder="1" applyAlignment="1">
      <alignment vertical="center"/>
    </xf>
    <xf numFmtId="164" fontId="3" fillId="23" borderId="99" xfId="0" applyNumberFormat="1" applyFont="1" applyFill="1" applyBorder="1" applyAlignment="1"/>
    <xf numFmtId="164" fontId="3" fillId="23" borderId="29" xfId="0" applyNumberFormat="1" applyFont="1" applyFill="1" applyBorder="1" applyAlignment="1"/>
    <xf numFmtId="164" fontId="3" fillId="23" borderId="27" xfId="0" applyNumberFormat="1" applyFont="1" applyFill="1" applyBorder="1" applyAlignment="1">
      <alignment horizontal="center" vertical="center"/>
    </xf>
    <xf numFmtId="164" fontId="3" fillId="23" borderId="28" xfId="0" applyNumberFormat="1" applyFont="1" applyFill="1" applyBorder="1" applyAlignment="1">
      <alignment vertical="center"/>
    </xf>
    <xf numFmtId="0" fontId="3" fillId="23" borderId="66" xfId="0" applyFont="1" applyFill="1" applyBorder="1"/>
    <xf numFmtId="0" fontId="3" fillId="23" borderId="8" xfId="0" applyFont="1" applyFill="1" applyBorder="1"/>
    <xf numFmtId="164" fontId="3" fillId="23" borderId="9" xfId="0" applyNumberFormat="1" applyFont="1" applyFill="1" applyBorder="1" applyAlignment="1"/>
    <xf numFmtId="0" fontId="3" fillId="23" borderId="43" xfId="0" applyFont="1" applyFill="1" applyBorder="1"/>
    <xf numFmtId="164" fontId="3" fillId="23" borderId="66" xfId="0" applyNumberFormat="1" applyFont="1" applyFill="1" applyBorder="1" applyAlignment="1"/>
    <xf numFmtId="0" fontId="3" fillId="23" borderId="16" xfId="0" applyFont="1" applyFill="1" applyBorder="1"/>
    <xf numFmtId="164" fontId="3" fillId="23" borderId="16" xfId="0" applyNumberFormat="1" applyFont="1" applyFill="1" applyBorder="1" applyAlignment="1"/>
    <xf numFmtId="164" fontId="3" fillId="23" borderId="29" xfId="0" applyNumberFormat="1" applyFont="1" applyFill="1" applyBorder="1" applyAlignment="1">
      <alignment horizontal="center"/>
    </xf>
    <xf numFmtId="164" fontId="27" fillId="0" borderId="10" xfId="1" applyNumberFormat="1" applyFont="1" applyBorder="1"/>
    <xf numFmtId="164" fontId="27" fillId="0" borderId="60" xfId="1" applyNumberFormat="1" applyFont="1" applyBorder="1"/>
    <xf numFmtId="0" fontId="27" fillId="0" borderId="12" xfId="0" applyFont="1" applyFill="1" applyBorder="1"/>
    <xf numFmtId="164" fontId="32" fillId="23" borderId="34" xfId="0" applyNumberFormat="1" applyFont="1" applyFill="1" applyBorder="1"/>
    <xf numFmtId="164" fontId="32" fillId="23" borderId="35" xfId="0" applyNumberFormat="1" applyFont="1" applyFill="1" applyBorder="1"/>
    <xf numFmtId="164" fontId="32" fillId="23" borderId="36" xfId="0" applyNumberFormat="1" applyFont="1" applyFill="1" applyBorder="1"/>
    <xf numFmtId="164" fontId="32" fillId="23" borderId="35" xfId="1" applyNumberFormat="1" applyFont="1" applyFill="1" applyBorder="1" applyAlignment="1">
      <alignment vertical="center"/>
    </xf>
    <xf numFmtId="164" fontId="32" fillId="23" borderId="36" xfId="1" applyNumberFormat="1" applyFont="1" applyFill="1" applyBorder="1" applyAlignment="1">
      <alignment vertical="center"/>
    </xf>
    <xf numFmtId="164" fontId="12" fillId="0" borderId="9" xfId="0" applyNumberFormat="1" applyFont="1" applyBorder="1"/>
    <xf numFmtId="164" fontId="32" fillId="23" borderId="34" xfId="1" applyNumberFormat="1" applyFont="1" applyFill="1" applyBorder="1"/>
    <xf numFmtId="164" fontId="32" fillId="23" borderId="35" xfId="1" applyNumberFormat="1" applyFont="1" applyFill="1" applyBorder="1"/>
    <xf numFmtId="164" fontId="32" fillId="23" borderId="36" xfId="1" applyNumberFormat="1" applyFont="1" applyFill="1" applyBorder="1"/>
    <xf numFmtId="42" fontId="27" fillId="28" borderId="28" xfId="0" applyNumberFormat="1" applyFont="1" applyFill="1" applyBorder="1"/>
    <xf numFmtId="42" fontId="27" fillId="28" borderId="34" xfId="0" applyNumberFormat="1" applyFont="1" applyFill="1" applyBorder="1"/>
    <xf numFmtId="42" fontId="27" fillId="28" borderId="35" xfId="0" applyNumberFormat="1" applyFont="1" applyFill="1" applyBorder="1"/>
    <xf numFmtId="164" fontId="12" fillId="0" borderId="55" xfId="1" applyNumberFormat="1" applyFont="1" applyBorder="1" applyAlignment="1"/>
    <xf numFmtId="164" fontId="12" fillId="0" borderId="16" xfId="1" applyNumberFormat="1" applyFont="1" applyBorder="1" applyAlignment="1"/>
    <xf numFmtId="164" fontId="12" fillId="0" borderId="9" xfId="1" applyNumberFormat="1" applyFont="1" applyBorder="1" applyAlignment="1"/>
    <xf numFmtId="0" fontId="34" fillId="14" borderId="1" xfId="0" applyFont="1" applyFill="1" applyBorder="1" applyAlignment="1">
      <alignment horizontal="center" vertical="center"/>
    </xf>
    <xf numFmtId="14" fontId="34" fillId="14" borderId="1" xfId="0" applyNumberFormat="1" applyFont="1" applyFill="1" applyBorder="1" applyAlignment="1">
      <alignment horizontal="center" vertical="center"/>
    </xf>
    <xf numFmtId="42" fontId="16" fillId="0" borderId="0" xfId="0" applyNumberFormat="1" applyFont="1" applyBorder="1"/>
    <xf numFmtId="0" fontId="12" fillId="0" borderId="56" xfId="0" applyFont="1" applyBorder="1"/>
    <xf numFmtId="0" fontId="12" fillId="0" borderId="15" xfId="0" applyFont="1" applyBorder="1" applyAlignment="1">
      <alignment horizontal="left"/>
    </xf>
    <xf numFmtId="0" fontId="12" fillId="0" borderId="58" xfId="0" applyFont="1" applyBorder="1"/>
    <xf numFmtId="0" fontId="55" fillId="14" borderId="1" xfId="0" applyFont="1" applyFill="1" applyBorder="1" applyAlignment="1">
      <alignment horizontal="center" vertical="center"/>
    </xf>
    <xf numFmtId="14" fontId="55" fillId="14" borderId="10" xfId="0" applyNumberFormat="1" applyFont="1" applyFill="1" applyBorder="1" applyAlignment="1">
      <alignment horizontal="center" vertical="center"/>
    </xf>
    <xf numFmtId="0" fontId="9" fillId="14" borderId="20" xfId="0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14" fontId="9" fillId="14" borderId="25" xfId="0" applyNumberFormat="1" applyFont="1" applyFill="1" applyBorder="1" applyAlignment="1">
      <alignment horizontal="center" vertical="center"/>
    </xf>
    <xf numFmtId="1" fontId="3" fillId="23" borderId="30" xfId="0" applyNumberFormat="1" applyFont="1" applyFill="1" applyBorder="1" applyAlignment="1">
      <alignment horizontal="left"/>
    </xf>
    <xf numFmtId="1" fontId="32" fillId="23" borderId="42" xfId="0" applyNumberFormat="1" applyFont="1" applyFill="1" applyBorder="1" applyAlignment="1">
      <alignment horizontal="left"/>
    </xf>
    <xf numFmtId="42" fontId="3" fillId="23" borderId="30" xfId="0" applyNumberFormat="1" applyFont="1" applyFill="1" applyBorder="1"/>
    <xf numFmtId="0" fontId="3" fillId="23" borderId="63" xfId="0" applyFont="1" applyFill="1" applyBorder="1"/>
    <xf numFmtId="1" fontId="12" fillId="0" borderId="8" xfId="0" applyNumberFormat="1" applyFont="1" applyBorder="1" applyAlignment="1">
      <alignment horizontal="left"/>
    </xf>
    <xf numFmtId="164" fontId="0" fillId="0" borderId="0" xfId="1" applyNumberFormat="1" applyFont="1"/>
    <xf numFmtId="164" fontId="16" fillId="0" borderId="0" xfId="1" applyNumberFormat="1" applyFont="1" applyFill="1" applyBorder="1"/>
    <xf numFmtId="0" fontId="12" fillId="0" borderId="80" xfId="0" applyFont="1" applyBorder="1"/>
    <xf numFmtId="0" fontId="12" fillId="0" borderId="66" xfId="0" applyFont="1" applyBorder="1"/>
    <xf numFmtId="0" fontId="12" fillId="0" borderId="67" xfId="0" applyFont="1" applyBorder="1"/>
    <xf numFmtId="164" fontId="12" fillId="0" borderId="26" xfId="1" applyNumberFormat="1" applyFont="1" applyBorder="1"/>
    <xf numFmtId="164" fontId="12" fillId="0" borderId="65" xfId="1" applyNumberFormat="1" applyFont="1" applyBorder="1"/>
    <xf numFmtId="164" fontId="12" fillId="0" borderId="54" xfId="1" applyNumberFormat="1" applyFont="1" applyBorder="1"/>
    <xf numFmtId="0" fontId="0" fillId="0" borderId="8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27" borderId="8" xfId="0" applyFill="1" applyBorder="1" applyAlignment="1">
      <alignment horizontal="left" wrapText="1"/>
    </xf>
    <xf numFmtId="0" fontId="0" fillId="27" borderId="16" xfId="0" applyFill="1" applyBorder="1" applyAlignment="1">
      <alignment horizontal="left" wrapText="1"/>
    </xf>
    <xf numFmtId="0" fontId="0" fillId="27" borderId="9" xfId="0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16" borderId="8" xfId="0" applyFont="1" applyFill="1" applyBorder="1" applyAlignment="1">
      <alignment horizontal="center"/>
    </xf>
    <xf numFmtId="0" fontId="1" fillId="16" borderId="16" xfId="0" applyFont="1" applyFill="1" applyBorder="1" applyAlignment="1">
      <alignment horizontal="center"/>
    </xf>
    <xf numFmtId="0" fontId="1" fillId="16" borderId="9" xfId="0" applyFont="1" applyFill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0" fillId="16" borderId="10" xfId="0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0" fillId="16" borderId="10" xfId="0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16" borderId="1" xfId="0" applyFont="1" applyFill="1" applyBorder="1" applyAlignment="1">
      <alignment horizontal="center" wrapText="1"/>
    </xf>
    <xf numFmtId="0" fontId="1" fillId="15" borderId="8" xfId="0" applyFont="1" applyFill="1" applyBorder="1" applyAlignment="1">
      <alignment horizontal="center"/>
    </xf>
    <xf numFmtId="0" fontId="1" fillId="15" borderId="9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0" fillId="14" borderId="51" xfId="0" applyFill="1" applyBorder="1" applyAlignment="1">
      <alignment horizontal="left"/>
    </xf>
    <xf numFmtId="0" fontId="0" fillId="14" borderId="52" xfId="0" applyFill="1" applyBorder="1" applyAlignment="1">
      <alignment horizontal="left"/>
    </xf>
    <xf numFmtId="0" fontId="0" fillId="14" borderId="53" xfId="0" applyFill="1" applyBorder="1" applyAlignment="1">
      <alignment horizontal="left"/>
    </xf>
    <xf numFmtId="0" fontId="0" fillId="14" borderId="30" xfId="0" applyFill="1" applyBorder="1" applyAlignment="1">
      <alignment horizontal="left"/>
    </xf>
    <xf numFmtId="0" fontId="0" fillId="14" borderId="42" xfId="0" applyFill="1" applyBorder="1" applyAlignment="1">
      <alignment horizontal="left"/>
    </xf>
    <xf numFmtId="0" fontId="0" fillId="14" borderId="32" xfId="0" applyFill="1" applyBorder="1" applyAlignment="1">
      <alignment horizontal="left"/>
    </xf>
    <xf numFmtId="0" fontId="4" fillId="16" borderId="8" xfId="0" applyFont="1" applyFill="1" applyBorder="1" applyAlignment="1">
      <alignment horizontal="center" vertical="center"/>
    </xf>
    <xf numFmtId="0" fontId="4" fillId="16" borderId="16" xfId="0" applyFont="1" applyFill="1" applyBorder="1" applyAlignment="1">
      <alignment horizontal="center" vertical="center"/>
    </xf>
    <xf numFmtId="0" fontId="4" fillId="16" borderId="9" xfId="0" applyFont="1" applyFill="1" applyBorder="1" applyAlignment="1">
      <alignment horizontal="center" vertical="center"/>
    </xf>
    <xf numFmtId="0" fontId="5" fillId="16" borderId="52" xfId="0" applyFont="1" applyFill="1" applyBorder="1" applyAlignment="1">
      <alignment horizontal="center" vertical="center"/>
    </xf>
    <xf numFmtId="0" fontId="4" fillId="16" borderId="74" xfId="0" applyFont="1" applyFill="1" applyBorder="1" applyAlignment="1">
      <alignment horizontal="left" vertical="center"/>
    </xf>
    <xf numFmtId="0" fontId="4" fillId="16" borderId="75" xfId="0" applyFont="1" applyFill="1" applyBorder="1" applyAlignment="1">
      <alignment horizontal="left" vertical="center"/>
    </xf>
    <xf numFmtId="0" fontId="4" fillId="16" borderId="62" xfId="0" applyFont="1" applyFill="1" applyBorder="1" applyAlignment="1">
      <alignment horizontal="left" vertical="center"/>
    </xf>
    <xf numFmtId="0" fontId="4" fillId="16" borderId="3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17" borderId="23" xfId="0" applyFont="1" applyFill="1" applyBorder="1" applyAlignment="1">
      <alignment horizontal="left" wrapText="1"/>
    </xf>
    <xf numFmtId="0" fontId="3" fillId="17" borderId="24" xfId="0" applyFont="1" applyFill="1" applyBorder="1" applyAlignment="1">
      <alignment horizontal="left" wrapText="1"/>
    </xf>
    <xf numFmtId="0" fontId="5" fillId="16" borderId="51" xfId="0" applyFont="1" applyFill="1" applyBorder="1" applyAlignment="1">
      <alignment horizontal="center" vertical="center"/>
    </xf>
    <xf numFmtId="0" fontId="5" fillId="16" borderId="53" xfId="0" applyFont="1" applyFill="1" applyBorder="1" applyAlignment="1">
      <alignment horizontal="center" vertical="center"/>
    </xf>
    <xf numFmtId="0" fontId="5" fillId="16" borderId="56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58" xfId="0" applyFont="1" applyFill="1" applyBorder="1" applyAlignment="1">
      <alignment horizontal="center" vertical="center"/>
    </xf>
    <xf numFmtId="0" fontId="4" fillId="16" borderId="59" xfId="0" applyFont="1" applyFill="1" applyBorder="1" applyAlignment="1">
      <alignment horizontal="left" vertical="center"/>
    </xf>
    <xf numFmtId="0" fontId="4" fillId="16" borderId="10" xfId="0" applyFont="1" applyFill="1" applyBorder="1" applyAlignment="1">
      <alignment horizontal="left" vertical="center"/>
    </xf>
    <xf numFmtId="0" fontId="4" fillId="16" borderId="10" xfId="0" applyFont="1" applyFill="1" applyBorder="1" applyAlignment="1">
      <alignment horizontal="center" vertical="center"/>
    </xf>
    <xf numFmtId="0" fontId="4" fillId="16" borderId="60" xfId="0" applyFont="1" applyFill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/>
    </xf>
    <xf numFmtId="0" fontId="3" fillId="17" borderId="26" xfId="0" applyFont="1" applyFill="1" applyBorder="1" applyAlignment="1">
      <alignment horizontal="center" wrapText="1"/>
    </xf>
    <xf numFmtId="0" fontId="3" fillId="17" borderId="65" xfId="0" applyFont="1" applyFill="1" applyBorder="1" applyAlignment="1">
      <alignment horizontal="center" wrapText="1"/>
    </xf>
    <xf numFmtId="164" fontId="3" fillId="17" borderId="81" xfId="0" applyNumberFormat="1" applyFont="1" applyFill="1" applyBorder="1" applyAlignment="1">
      <alignment horizontal="left" vertical="center"/>
    </xf>
    <xf numFmtId="164" fontId="3" fillId="17" borderId="71" xfId="0" applyNumberFormat="1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wrapText="1"/>
    </xf>
    <xf numFmtId="0" fontId="16" fillId="0" borderId="22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5" fillId="16" borderId="8" xfId="0" applyFont="1" applyFill="1" applyBorder="1" applyAlignment="1">
      <alignment horizontal="center"/>
    </xf>
    <xf numFmtId="0" fontId="45" fillId="16" borderId="16" xfId="0" applyFont="1" applyFill="1" applyBorder="1" applyAlignment="1">
      <alignment horizontal="center"/>
    </xf>
    <xf numFmtId="0" fontId="45" fillId="16" borderId="9" xfId="0" applyFont="1" applyFill="1" applyBorder="1" applyAlignment="1">
      <alignment horizontal="center"/>
    </xf>
    <xf numFmtId="0" fontId="3" fillId="17" borderId="76" xfId="0" applyFont="1" applyFill="1" applyBorder="1" applyAlignment="1">
      <alignment horizontal="left" wrapText="1"/>
    </xf>
    <xf numFmtId="0" fontId="3" fillId="17" borderId="70" xfId="0" applyFont="1" applyFill="1" applyBorder="1" applyAlignment="1">
      <alignment horizontal="left" wrapText="1"/>
    </xf>
    <xf numFmtId="0" fontId="3" fillId="17" borderId="72" xfId="0" applyFont="1" applyFill="1" applyBorder="1" applyAlignment="1">
      <alignment horizontal="left" wrapText="1"/>
    </xf>
    <xf numFmtId="164" fontId="3" fillId="17" borderId="31" xfId="0" applyNumberFormat="1" applyFont="1" applyFill="1" applyBorder="1" applyAlignment="1">
      <alignment horizontal="center" vertical="center"/>
    </xf>
    <xf numFmtId="164" fontId="3" fillId="17" borderId="63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wrapText="1"/>
    </xf>
    <xf numFmtId="0" fontId="16" fillId="0" borderId="27" xfId="0" applyFont="1" applyFill="1" applyBorder="1" applyAlignment="1">
      <alignment horizontal="left" wrapText="1"/>
    </xf>
    <xf numFmtId="0" fontId="16" fillId="0" borderId="25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164" fontId="3" fillId="17" borderId="7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164" fontId="3" fillId="17" borderId="72" xfId="0" applyNumberFormat="1" applyFont="1" applyFill="1" applyBorder="1" applyAlignment="1">
      <alignment horizontal="center" vertical="center"/>
    </xf>
    <xf numFmtId="164" fontId="3" fillId="17" borderId="32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wrapText="1"/>
    </xf>
    <xf numFmtId="0" fontId="16" fillId="0" borderId="9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6" fillId="0" borderId="22" xfId="0" applyFont="1" applyBorder="1" applyAlignment="1">
      <alignment horizontal="left" wrapText="1"/>
    </xf>
    <xf numFmtId="164" fontId="3" fillId="17" borderId="24" xfId="0" applyNumberFormat="1" applyFont="1" applyFill="1" applyBorder="1" applyAlignment="1">
      <alignment horizontal="center" vertical="center"/>
    </xf>
    <xf numFmtId="164" fontId="3" fillId="17" borderId="25" xfId="0" applyNumberFormat="1" applyFont="1" applyFill="1" applyBorder="1" applyAlignment="1">
      <alignment horizontal="center" vertical="center"/>
    </xf>
    <xf numFmtId="0" fontId="5" fillId="16" borderId="40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6" borderId="41" xfId="0" applyFont="1" applyFill="1" applyBorder="1" applyAlignment="1">
      <alignment horizontal="center" vertical="center"/>
    </xf>
    <xf numFmtId="0" fontId="47" fillId="16" borderId="18" xfId="0" applyFont="1" applyFill="1" applyBorder="1" applyAlignment="1">
      <alignment horizontal="center" vertical="center"/>
    </xf>
    <xf numFmtId="0" fontId="47" fillId="16" borderId="1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wrapText="1"/>
    </xf>
    <xf numFmtId="0" fontId="16" fillId="0" borderId="64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4" fillId="16" borderId="23" xfId="0" applyFont="1" applyFill="1" applyBorder="1" applyAlignment="1">
      <alignment horizontal="left" vertical="center"/>
    </xf>
    <xf numFmtId="0" fontId="4" fillId="16" borderId="24" xfId="0" applyFont="1" applyFill="1" applyBorder="1" applyAlignment="1">
      <alignment horizontal="left" vertical="center"/>
    </xf>
    <xf numFmtId="0" fontId="4" fillId="16" borderId="24" xfId="0" applyFont="1" applyFill="1" applyBorder="1" applyAlignment="1">
      <alignment horizontal="center" vertical="center"/>
    </xf>
    <xf numFmtId="0" fontId="4" fillId="16" borderId="25" xfId="0" applyFont="1" applyFill="1" applyBorder="1" applyAlignment="1">
      <alignment horizontal="center" vertical="center"/>
    </xf>
    <xf numFmtId="0" fontId="4" fillId="16" borderId="22" xfId="0" applyFont="1" applyFill="1" applyBorder="1" applyAlignment="1">
      <alignment horizontal="center" vertical="center"/>
    </xf>
    <xf numFmtId="0" fontId="5" fillId="16" borderId="18" xfId="0" applyFont="1" applyFill="1" applyBorder="1" applyAlignment="1">
      <alignment horizontal="center" vertical="center"/>
    </xf>
    <xf numFmtId="0" fontId="5" fillId="16" borderId="19" xfId="0" applyFont="1" applyFill="1" applyBorder="1" applyAlignment="1">
      <alignment horizontal="center" vertical="center"/>
    </xf>
    <xf numFmtId="0" fontId="5" fillId="16" borderId="20" xfId="0" applyFont="1" applyFill="1" applyBorder="1" applyAlignment="1">
      <alignment horizontal="center" vertical="center"/>
    </xf>
    <xf numFmtId="0" fontId="5" fillId="16" borderId="2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5" fillId="16" borderId="22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8" xfId="0" applyFont="1" applyBorder="1" applyAlignment="1">
      <alignment horizontal="left"/>
    </xf>
    <xf numFmtId="0" fontId="16" fillId="0" borderId="57" xfId="0" applyFont="1" applyBorder="1" applyAlignment="1">
      <alignment horizontal="left"/>
    </xf>
    <xf numFmtId="0" fontId="16" fillId="0" borderId="8" xfId="0" applyFont="1" applyBorder="1" applyAlignment="1">
      <alignment horizontal="left" wrapText="1"/>
    </xf>
    <xf numFmtId="0" fontId="16" fillId="0" borderId="57" xfId="0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50" fillId="0" borderId="90" xfId="0" applyFont="1" applyFill="1" applyBorder="1" applyAlignment="1">
      <alignment horizontal="left"/>
    </xf>
    <xf numFmtId="0" fontId="50" fillId="0" borderId="9" xfId="0" applyFont="1" applyFill="1" applyBorder="1" applyAlignment="1">
      <alignment horizontal="left"/>
    </xf>
    <xf numFmtId="0" fontId="50" fillId="0" borderId="55" xfId="0" applyFont="1" applyFill="1" applyBorder="1" applyAlignment="1">
      <alignment horizontal="left"/>
    </xf>
    <xf numFmtId="0" fontId="16" fillId="0" borderId="12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16" fillId="0" borderId="8" xfId="0" applyFont="1" applyBorder="1" applyAlignment="1">
      <alignment horizontal="center" wrapText="1"/>
    </xf>
    <xf numFmtId="0" fontId="16" fillId="0" borderId="57" xfId="0" applyFont="1" applyBorder="1" applyAlignment="1">
      <alignment horizontal="center" wrapText="1"/>
    </xf>
    <xf numFmtId="164" fontId="0" fillId="0" borderId="26" xfId="1" applyNumberFormat="1" applyFont="1" applyFill="1" applyBorder="1" applyAlignment="1">
      <alignment horizontal="left" vertical="center" wrapText="1"/>
    </xf>
    <xf numFmtId="164" fontId="0" fillId="0" borderId="54" xfId="1" applyNumberFormat="1" applyFont="1" applyFill="1" applyBorder="1" applyAlignment="1">
      <alignment horizontal="left" vertical="center" wrapText="1"/>
    </xf>
    <xf numFmtId="0" fontId="2" fillId="11" borderId="51" xfId="0" applyFont="1" applyFill="1" applyBorder="1" applyAlignment="1">
      <alignment horizontal="center" vertical="center" wrapText="1"/>
    </xf>
    <xf numFmtId="0" fontId="2" fillId="11" borderId="52" xfId="0" applyFont="1" applyFill="1" applyBorder="1" applyAlignment="1">
      <alignment horizontal="center" vertical="center" wrapText="1"/>
    </xf>
    <xf numFmtId="0" fontId="2" fillId="11" borderId="61" xfId="0" applyFont="1" applyFill="1" applyBorder="1" applyAlignment="1">
      <alignment horizontal="center" vertical="center" wrapText="1"/>
    </xf>
    <xf numFmtId="0" fontId="2" fillId="11" borderId="56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1" borderId="30" xfId="0" applyFont="1" applyFill="1" applyBorder="1" applyAlignment="1">
      <alignment horizontal="center" vertical="center" wrapText="1"/>
    </xf>
    <xf numFmtId="0" fontId="2" fillId="11" borderId="42" xfId="0" applyFont="1" applyFill="1" applyBorder="1" applyAlignment="1">
      <alignment horizontal="center" vertical="center" wrapText="1"/>
    </xf>
    <xf numFmtId="0" fontId="2" fillId="11" borderId="31" xfId="0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7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0" fillId="0" borderId="7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4" fillId="16" borderId="25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 wrapText="1"/>
    </xf>
    <xf numFmtId="0" fontId="4" fillId="0" borderId="65" xfId="0" applyFont="1" applyBorder="1" applyAlignment="1">
      <alignment horizontal="center" wrapText="1"/>
    </xf>
    <xf numFmtId="0" fontId="4" fillId="0" borderId="54" xfId="0" applyFont="1" applyBorder="1" applyAlignment="1">
      <alignment horizont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17" borderId="25" xfId="0" applyFont="1" applyFill="1" applyBorder="1" applyAlignment="1">
      <alignment horizontal="left" wrapText="1"/>
    </xf>
    <xf numFmtId="0" fontId="12" fillId="0" borderId="23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164" fontId="3" fillId="17" borderId="27" xfId="0" applyNumberFormat="1" applyFont="1" applyFill="1" applyBorder="1" applyAlignment="1">
      <alignment horizontal="center" vertical="center"/>
    </xf>
    <xf numFmtId="0" fontId="4" fillId="16" borderId="18" xfId="0" applyFont="1" applyFill="1" applyBorder="1" applyAlignment="1">
      <alignment horizontal="center" vertical="center"/>
    </xf>
    <xf numFmtId="0" fontId="4" fillId="16" borderId="20" xfId="0" applyFont="1" applyFill="1" applyBorder="1" applyAlignment="1">
      <alignment horizontal="center" vertical="center"/>
    </xf>
    <xf numFmtId="0" fontId="0" fillId="16" borderId="80" xfId="0" applyFill="1" applyBorder="1" applyAlignment="1">
      <alignment horizontal="center"/>
    </xf>
    <xf numFmtId="0" fontId="0" fillId="16" borderId="66" xfId="0" applyFill="1" applyBorder="1" applyAlignment="1">
      <alignment horizontal="center"/>
    </xf>
    <xf numFmtId="0" fontId="0" fillId="16" borderId="67" xfId="0" applyFill="1" applyBorder="1" applyAlignment="1">
      <alignment horizontal="center"/>
    </xf>
    <xf numFmtId="0" fontId="16" fillId="0" borderId="26" xfId="0" applyFont="1" applyFill="1" applyBorder="1" applyAlignment="1">
      <alignment horizontal="left" wrapText="1"/>
    </xf>
    <xf numFmtId="0" fontId="16" fillId="0" borderId="54" xfId="0" applyFont="1" applyFill="1" applyBorder="1" applyAlignment="1">
      <alignment horizontal="left" wrapText="1"/>
    </xf>
    <xf numFmtId="164" fontId="12" fillId="0" borderId="23" xfId="1" applyNumberFormat="1" applyFont="1" applyBorder="1" applyAlignment="1">
      <alignment horizontal="center" vertical="center"/>
    </xf>
    <xf numFmtId="164" fontId="12" fillId="0" borderId="24" xfId="1" applyNumberFormat="1" applyFont="1" applyBorder="1" applyAlignment="1">
      <alignment horizontal="center" vertical="center"/>
    </xf>
    <xf numFmtId="164" fontId="12" fillId="0" borderId="25" xfId="1" applyNumberFormat="1" applyFont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164" fontId="12" fillId="0" borderId="26" xfId="1" applyNumberFormat="1" applyFont="1" applyFill="1" applyBorder="1" applyAlignment="1">
      <alignment horizontal="center"/>
    </xf>
    <xf numFmtId="164" fontId="12" fillId="0" borderId="65" xfId="1" applyNumberFormat="1" applyFont="1" applyFill="1" applyBorder="1" applyAlignment="1">
      <alignment horizontal="center"/>
    </xf>
    <xf numFmtId="164" fontId="12" fillId="0" borderId="54" xfId="1" applyNumberFormat="1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5" fillId="16" borderId="59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/>
    </xf>
    <xf numFmtId="0" fontId="5" fillId="16" borderId="6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6" fillId="0" borderId="58" xfId="0" applyFont="1" applyBorder="1" applyAlignment="1">
      <alignment horizontal="left" wrapText="1"/>
    </xf>
    <xf numFmtId="0" fontId="16" fillId="0" borderId="85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6" fillId="0" borderId="0" xfId="0" applyFont="1" applyBorder="1" applyAlignment="1">
      <alignment horizontal="center" wrapText="1"/>
    </xf>
    <xf numFmtId="0" fontId="6" fillId="0" borderId="58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64" xfId="0" applyFont="1" applyBorder="1" applyAlignment="1">
      <alignment horizontal="center" wrapText="1"/>
    </xf>
    <xf numFmtId="164" fontId="12" fillId="0" borderId="23" xfId="1" applyNumberFormat="1" applyFont="1" applyBorder="1" applyAlignment="1">
      <alignment horizontal="center"/>
    </xf>
    <xf numFmtId="164" fontId="12" fillId="0" borderId="24" xfId="1" applyNumberFormat="1" applyFont="1" applyBorder="1" applyAlignment="1">
      <alignment horizontal="center"/>
    </xf>
    <xf numFmtId="164" fontId="12" fillId="0" borderId="25" xfId="1" applyNumberFormat="1" applyFont="1" applyBorder="1" applyAlignment="1">
      <alignment horizont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/>
    </xf>
    <xf numFmtId="164" fontId="3" fillId="17" borderId="23" xfId="0" applyNumberFormat="1" applyFont="1" applyFill="1" applyBorder="1" applyAlignment="1">
      <alignment horizontal="center" vertical="center"/>
    </xf>
    <xf numFmtId="0" fontId="16" fillId="0" borderId="85" xfId="0" applyFont="1" applyBorder="1" applyAlignment="1">
      <alignment horizontal="left"/>
    </xf>
    <xf numFmtId="0" fontId="16" fillId="0" borderId="64" xfId="0" applyFont="1" applyBorder="1" applyAlignment="1">
      <alignment horizontal="left"/>
    </xf>
    <xf numFmtId="0" fontId="4" fillId="16" borderId="72" xfId="0" applyFont="1" applyFill="1" applyBorder="1" applyAlignment="1">
      <alignment horizontal="center" vertical="center"/>
    </xf>
    <xf numFmtId="0" fontId="4" fillId="16" borderId="32" xfId="0" applyFont="1" applyFill="1" applyBorder="1" applyAlignment="1">
      <alignment horizontal="center" vertical="center"/>
    </xf>
    <xf numFmtId="0" fontId="3" fillId="17" borderId="72" xfId="0" applyFont="1" applyFill="1" applyBorder="1" applyAlignment="1">
      <alignment horizontal="center"/>
    </xf>
    <xf numFmtId="0" fontId="3" fillId="17" borderId="32" xfId="0" applyFont="1" applyFill="1" applyBorder="1" applyAlignment="1">
      <alignment horizontal="center"/>
    </xf>
    <xf numFmtId="0" fontId="4" fillId="16" borderId="18" xfId="0" applyFont="1" applyFill="1" applyBorder="1" applyAlignment="1">
      <alignment horizontal="left" vertical="center"/>
    </xf>
    <xf numFmtId="0" fontId="4" fillId="16" borderId="19" xfId="0" applyFont="1" applyFill="1" applyBorder="1" applyAlignment="1">
      <alignment horizontal="left" vertical="center"/>
    </xf>
    <xf numFmtId="0" fontId="4" fillId="16" borderId="20" xfId="0" applyFont="1" applyFill="1" applyBorder="1" applyAlignment="1">
      <alignment horizontal="left" vertical="center"/>
    </xf>
    <xf numFmtId="0" fontId="4" fillId="16" borderId="44" xfId="0" applyFont="1" applyFill="1" applyBorder="1" applyAlignment="1">
      <alignment horizontal="center" vertical="center"/>
    </xf>
    <xf numFmtId="0" fontId="4" fillId="16" borderId="5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wrapText="1"/>
    </xf>
    <xf numFmtId="0" fontId="4" fillId="0" borderId="65" xfId="0" applyFont="1" applyFill="1" applyBorder="1" applyAlignment="1">
      <alignment horizontal="center" wrapText="1"/>
    </xf>
    <xf numFmtId="0" fontId="4" fillId="0" borderId="54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6" fillId="0" borderId="64" xfId="0" applyFont="1" applyBorder="1" applyAlignment="1">
      <alignment horizontal="left" wrapText="1"/>
    </xf>
    <xf numFmtId="0" fontId="16" fillId="0" borderId="40" xfId="0" applyFont="1" applyFill="1" applyBorder="1" applyAlignment="1">
      <alignment horizontal="left" wrapText="1"/>
    </xf>
    <xf numFmtId="0" fontId="16" fillId="0" borderId="41" xfId="0" applyFont="1" applyFill="1" applyBorder="1" applyAlignment="1">
      <alignment horizontal="left" wrapText="1"/>
    </xf>
    <xf numFmtId="0" fontId="16" fillId="0" borderId="55" xfId="0" applyFont="1" applyFill="1" applyBorder="1" applyAlignment="1">
      <alignment horizontal="left" wrapText="1"/>
    </xf>
    <xf numFmtId="0" fontId="16" fillId="0" borderId="57" xfId="0" applyFont="1" applyFill="1" applyBorder="1" applyAlignment="1">
      <alignment horizontal="left" wrapText="1"/>
    </xf>
    <xf numFmtId="164" fontId="3" fillId="17" borderId="59" xfId="0" applyNumberFormat="1" applyFont="1" applyFill="1" applyBorder="1" applyAlignment="1">
      <alignment horizontal="center" vertical="center"/>
    </xf>
    <xf numFmtId="164" fontId="3" fillId="17" borderId="60" xfId="0" applyNumberFormat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42" fillId="16" borderId="18" xfId="0" applyFont="1" applyFill="1" applyBorder="1" applyAlignment="1">
      <alignment horizontal="center" vertical="center"/>
    </xf>
    <xf numFmtId="0" fontId="42" fillId="16" borderId="19" xfId="0" applyFont="1" applyFill="1" applyBorder="1" applyAlignment="1">
      <alignment horizontal="center" vertical="center"/>
    </xf>
    <xf numFmtId="0" fontId="42" fillId="16" borderId="20" xfId="0" applyFont="1" applyFill="1" applyBorder="1" applyAlignment="1">
      <alignment horizontal="center" vertical="center"/>
    </xf>
    <xf numFmtId="0" fontId="35" fillId="16" borderId="1" xfId="0" applyFont="1" applyFill="1" applyBorder="1" applyAlignment="1">
      <alignment horizontal="center"/>
    </xf>
    <xf numFmtId="0" fontId="35" fillId="16" borderId="22" xfId="0" applyFont="1" applyFill="1" applyBorder="1" applyAlignment="1">
      <alignment horizontal="center"/>
    </xf>
    <xf numFmtId="0" fontId="4" fillId="16" borderId="51" xfId="0" applyFont="1" applyFill="1" applyBorder="1" applyAlignment="1">
      <alignment horizontal="center" vertical="center"/>
    </xf>
    <xf numFmtId="0" fontId="4" fillId="16" borderId="52" xfId="0" applyFont="1" applyFill="1" applyBorder="1" applyAlignment="1">
      <alignment horizontal="center" vertical="center"/>
    </xf>
    <xf numFmtId="0" fontId="4" fillId="16" borderId="53" xfId="0" applyFont="1" applyFill="1" applyBorder="1" applyAlignment="1">
      <alignment horizontal="center" vertical="center"/>
    </xf>
    <xf numFmtId="0" fontId="4" fillId="16" borderId="30" xfId="0" applyFont="1" applyFill="1" applyBorder="1" applyAlignment="1">
      <alignment horizontal="center" vertical="center"/>
    </xf>
    <xf numFmtId="0" fontId="4" fillId="16" borderId="42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14" fontId="9" fillId="0" borderId="72" xfId="0" applyNumberFormat="1" applyFont="1" applyBorder="1" applyAlignment="1">
      <alignment horizontal="center" vertical="center"/>
    </xf>
    <xf numFmtId="14" fontId="9" fillId="0" borderId="3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5" fillId="0" borderId="58" xfId="0" applyFont="1" applyBorder="1" applyAlignment="1">
      <alignment horizontal="center" wrapText="1"/>
    </xf>
    <xf numFmtId="0" fontId="16" fillId="0" borderId="16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" fillId="16" borderId="39" xfId="0" applyFont="1" applyFill="1" applyBorder="1" applyAlignment="1">
      <alignment horizontal="center"/>
    </xf>
    <xf numFmtId="0" fontId="1" fillId="16" borderId="38" xfId="0" applyFont="1" applyFill="1" applyBorder="1" applyAlignment="1">
      <alignment horizontal="center"/>
    </xf>
    <xf numFmtId="0" fontId="1" fillId="16" borderId="28" xfId="0" applyFont="1" applyFill="1" applyBorder="1" applyAlignment="1">
      <alignment horizontal="center"/>
    </xf>
    <xf numFmtId="0" fontId="5" fillId="0" borderId="7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2" borderId="2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13" borderId="51" xfId="0" applyFill="1" applyBorder="1" applyAlignment="1">
      <alignment horizontal="center" vertical="center" wrapText="1"/>
    </xf>
    <xf numFmtId="0" fontId="0" fillId="13" borderId="61" xfId="0" applyFill="1" applyBorder="1" applyAlignment="1">
      <alignment horizontal="center" vertical="center" wrapText="1"/>
    </xf>
    <xf numFmtId="0" fontId="0" fillId="13" borderId="56" xfId="0" applyFill="1" applyBorder="1" applyAlignment="1">
      <alignment horizontal="center" vertical="center" wrapText="1"/>
    </xf>
    <xf numFmtId="0" fontId="0" fillId="13" borderId="15" xfId="0" applyFill="1" applyBorder="1" applyAlignment="1">
      <alignment horizontal="center" vertical="center" wrapText="1"/>
    </xf>
    <xf numFmtId="42" fontId="12" fillId="0" borderId="8" xfId="0" applyNumberFormat="1" applyFont="1" applyBorder="1" applyAlignment="1">
      <alignment horizontal="center"/>
    </xf>
    <xf numFmtId="42" fontId="12" fillId="0" borderId="16" xfId="0" applyNumberFormat="1" applyFont="1" applyBorder="1" applyAlignment="1">
      <alignment horizontal="center"/>
    </xf>
    <xf numFmtId="42" fontId="12" fillId="0" borderId="57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42" fontId="27" fillId="0" borderId="1" xfId="0" applyNumberFormat="1" applyFont="1" applyBorder="1" applyAlignment="1">
      <alignment horizontal="center"/>
    </xf>
    <xf numFmtId="42" fontId="27" fillId="0" borderId="22" xfId="0" applyNumberFormat="1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8" fillId="12" borderId="18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0" fontId="28" fillId="12" borderId="21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/>
    </xf>
    <xf numFmtId="0" fontId="28" fillId="20" borderId="76" xfId="0" applyFont="1" applyFill="1" applyBorder="1" applyAlignment="1">
      <alignment horizontal="left"/>
    </xf>
    <xf numFmtId="0" fontId="28" fillId="20" borderId="72" xfId="0" applyFont="1" applyFill="1" applyBorder="1" applyAlignment="1">
      <alignment horizontal="left"/>
    </xf>
    <xf numFmtId="0" fontId="28" fillId="20" borderId="34" xfId="0" applyFont="1" applyFill="1" applyBorder="1" applyAlignment="1">
      <alignment horizontal="left"/>
    </xf>
    <xf numFmtId="0" fontId="28" fillId="20" borderId="37" xfId="0" applyFont="1" applyFill="1" applyBorder="1" applyAlignment="1">
      <alignment horizontal="left"/>
    </xf>
    <xf numFmtId="0" fontId="28" fillId="16" borderId="21" xfId="0" applyFont="1" applyFill="1" applyBorder="1" applyAlignment="1">
      <alignment horizontal="left"/>
    </xf>
    <xf numFmtId="0" fontId="28" fillId="16" borderId="1" xfId="0" applyFont="1" applyFill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8" fillId="16" borderId="21" xfId="0" applyFont="1" applyFill="1" applyBorder="1" applyAlignment="1">
      <alignment horizontal="center"/>
    </xf>
    <xf numFmtId="0" fontId="28" fillId="16" borderId="1" xfId="0" applyFont="1" applyFill="1" applyBorder="1" applyAlignment="1">
      <alignment horizontal="center"/>
    </xf>
    <xf numFmtId="0" fontId="28" fillId="20" borderId="21" xfId="0" applyFont="1" applyFill="1" applyBorder="1" applyAlignment="1">
      <alignment horizontal="left"/>
    </xf>
    <xf numFmtId="0" fontId="28" fillId="20" borderId="1" xfId="0" applyFont="1" applyFill="1" applyBorder="1" applyAlignment="1">
      <alignment horizontal="left"/>
    </xf>
    <xf numFmtId="0" fontId="28" fillId="0" borderId="2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8" fillId="24" borderId="21" xfId="0" applyFont="1" applyFill="1" applyBorder="1" applyAlignment="1">
      <alignment horizontal="center"/>
    </xf>
    <xf numFmtId="0" fontId="28" fillId="24" borderId="1" xfId="0" applyFont="1" applyFill="1" applyBorder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12" borderId="21" xfId="0" applyFont="1" applyFill="1" applyBorder="1" applyAlignment="1">
      <alignment horizontal="left"/>
    </xf>
    <xf numFmtId="0" fontId="28" fillId="12" borderId="1" xfId="0" applyFont="1" applyFill="1" applyBorder="1" applyAlignment="1">
      <alignment horizontal="left"/>
    </xf>
    <xf numFmtId="0" fontId="9" fillId="29" borderId="19" xfId="0" applyFont="1" applyFill="1" applyBorder="1" applyAlignment="1">
      <alignment horizontal="center" vertical="center"/>
    </xf>
    <xf numFmtId="0" fontId="9" fillId="29" borderId="20" xfId="0" applyFont="1" applyFill="1" applyBorder="1" applyAlignment="1">
      <alignment horizontal="center" vertical="center"/>
    </xf>
    <xf numFmtId="0" fontId="9" fillId="29" borderId="1" xfId="0" applyFont="1" applyFill="1" applyBorder="1" applyAlignment="1">
      <alignment horizontal="center" vertical="center"/>
    </xf>
    <xf numFmtId="0" fontId="9" fillId="29" borderId="22" xfId="0" applyFont="1" applyFill="1" applyBorder="1" applyAlignment="1">
      <alignment horizontal="center" vertical="center"/>
    </xf>
    <xf numFmtId="14" fontId="9" fillId="29" borderId="10" xfId="0" applyNumberFormat="1" applyFont="1" applyFill="1" applyBorder="1" applyAlignment="1">
      <alignment horizontal="center" vertical="center"/>
    </xf>
    <xf numFmtId="14" fontId="9" fillId="29" borderId="60" xfId="0" applyNumberFormat="1" applyFont="1" applyFill="1" applyBorder="1" applyAlignment="1">
      <alignment horizontal="center" vertical="center"/>
    </xf>
    <xf numFmtId="0" fontId="21" fillId="0" borderId="73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2" fontId="27" fillId="0" borderId="55" xfId="0" applyNumberFormat="1" applyFont="1" applyFill="1" applyBorder="1" applyAlignment="1">
      <alignment horizontal="center"/>
    </xf>
    <xf numFmtId="42" fontId="27" fillId="0" borderId="57" xfId="0" applyNumberFormat="1" applyFont="1" applyFill="1" applyBorder="1" applyAlignment="1">
      <alignment horizontal="center"/>
    </xf>
    <xf numFmtId="42" fontId="0" fillId="0" borderId="26" xfId="0" applyNumberFormat="1" applyBorder="1" applyAlignment="1">
      <alignment horizontal="center"/>
    </xf>
    <xf numFmtId="42" fontId="0" fillId="0" borderId="54" xfId="0" applyNumberFormat="1" applyBorder="1" applyAlignment="1">
      <alignment horizontal="center"/>
    </xf>
    <xf numFmtId="42" fontId="27" fillId="19" borderId="39" xfId="0" applyNumberFormat="1" applyFont="1" applyFill="1" applyBorder="1" applyAlignment="1">
      <alignment horizontal="center"/>
    </xf>
    <xf numFmtId="42" fontId="27" fillId="19" borderId="28" xfId="0" applyNumberFormat="1" applyFont="1" applyFill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0" fontId="28" fillId="16" borderId="39" xfId="0" applyFont="1" applyFill="1" applyBorder="1" applyAlignment="1">
      <alignment horizontal="center"/>
    </xf>
    <xf numFmtId="0" fontId="28" fillId="16" borderId="28" xfId="0" applyFont="1" applyFill="1" applyBorder="1" applyAlignment="1">
      <alignment horizontal="center"/>
    </xf>
    <xf numFmtId="0" fontId="27" fillId="0" borderId="18" xfId="0" applyFont="1" applyBorder="1" applyAlignment="1">
      <alignment horizontal="left"/>
    </xf>
    <xf numFmtId="0" fontId="27" fillId="0" borderId="20" xfId="0" applyFont="1" applyBorder="1" applyAlignment="1">
      <alignment horizontal="left"/>
    </xf>
    <xf numFmtId="0" fontId="28" fillId="0" borderId="22" xfId="0" applyFont="1" applyBorder="1" applyAlignment="1">
      <alignment horizontal="left"/>
    </xf>
    <xf numFmtId="0" fontId="27" fillId="0" borderId="22" xfId="0" applyFont="1" applyBorder="1" applyAlignment="1">
      <alignment horizontal="left"/>
    </xf>
    <xf numFmtId="0" fontId="10" fillId="0" borderId="55" xfId="0" applyFont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27" fillId="0" borderId="21" xfId="0" applyFont="1" applyBorder="1" applyAlignment="1"/>
    <xf numFmtId="0" fontId="27" fillId="0" borderId="22" xfId="0" applyFont="1" applyBorder="1" applyAlignment="1"/>
    <xf numFmtId="0" fontId="28" fillId="0" borderId="21" xfId="0" applyFont="1" applyBorder="1" applyAlignment="1"/>
    <xf numFmtId="0" fontId="28" fillId="0" borderId="22" xfId="0" applyFont="1" applyBorder="1" applyAlignment="1"/>
    <xf numFmtId="0" fontId="0" fillId="0" borderId="3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11" borderId="74" xfId="0" applyFill="1" applyBorder="1" applyAlignment="1">
      <alignment horizontal="center" vertical="center" wrapText="1"/>
    </xf>
    <xf numFmtId="0" fontId="0" fillId="11" borderId="68" xfId="0" applyFill="1" applyBorder="1" applyAlignment="1">
      <alignment horizontal="center" vertical="center"/>
    </xf>
    <xf numFmtId="0" fontId="28" fillId="12" borderId="34" xfId="0" applyFont="1" applyFill="1" applyBorder="1" applyAlignment="1">
      <alignment horizontal="center"/>
    </xf>
    <xf numFmtId="0" fontId="28" fillId="12" borderId="36" xfId="0" applyFont="1" applyFill="1" applyBorder="1" applyAlignment="1">
      <alignment horizontal="center"/>
    </xf>
    <xf numFmtId="0" fontId="27" fillId="0" borderId="68" xfId="0" applyFont="1" applyBorder="1" applyAlignment="1">
      <alignment horizontal="center"/>
    </xf>
    <xf numFmtId="0" fontId="27" fillId="0" borderId="69" xfId="0" applyFont="1" applyBorder="1" applyAlignment="1">
      <alignment horizontal="center"/>
    </xf>
    <xf numFmtId="0" fontId="28" fillId="12" borderId="39" xfId="0" applyFont="1" applyFill="1" applyBorder="1" applyAlignment="1">
      <alignment horizontal="left"/>
    </xf>
    <xf numFmtId="0" fontId="28" fillId="12" borderId="28" xfId="0" applyFont="1" applyFill="1" applyBorder="1" applyAlignment="1">
      <alignment horizontal="left"/>
    </xf>
    <xf numFmtId="0" fontId="28" fillId="0" borderId="18" xfId="0" applyFont="1" applyBorder="1" applyAlignment="1"/>
    <xf numFmtId="0" fontId="28" fillId="0" borderId="20" xfId="0" applyFont="1" applyBorder="1" applyAlignment="1"/>
    <xf numFmtId="42" fontId="0" fillId="0" borderId="21" xfId="0" applyNumberFormat="1" applyBorder="1" applyAlignment="1">
      <alignment horizontal="center"/>
    </xf>
    <xf numFmtId="42" fontId="0" fillId="0" borderId="22" xfId="0" applyNumberFormat="1" applyBorder="1" applyAlignment="1">
      <alignment horizontal="center"/>
    </xf>
    <xf numFmtId="164" fontId="27" fillId="16" borderId="55" xfId="0" applyNumberFormat="1" applyFont="1" applyFill="1" applyBorder="1" applyAlignment="1">
      <alignment horizontal="center"/>
    </xf>
    <xf numFmtId="164" fontId="27" fillId="16" borderId="57" xfId="0" applyNumberFormat="1" applyFont="1" applyFill="1" applyBorder="1" applyAlignment="1">
      <alignment horizontal="center"/>
    </xf>
    <xf numFmtId="42" fontId="0" fillId="0" borderId="56" xfId="0" applyNumberFormat="1" applyBorder="1" applyAlignment="1">
      <alignment horizontal="center"/>
    </xf>
    <xf numFmtId="42" fontId="0" fillId="0" borderId="58" xfId="0" applyNumberFormat="1" applyBorder="1" applyAlignment="1">
      <alignment horizontal="center"/>
    </xf>
    <xf numFmtId="0" fontId="1" fillId="21" borderId="80" xfId="0" applyFont="1" applyFill="1" applyBorder="1" applyAlignment="1">
      <alignment horizontal="center" vertical="center"/>
    </xf>
    <xf numFmtId="0" fontId="1" fillId="21" borderId="66" xfId="0" applyFont="1" applyFill="1" applyBorder="1" applyAlignment="1">
      <alignment horizontal="center" vertical="center"/>
    </xf>
    <xf numFmtId="0" fontId="1" fillId="21" borderId="67" xfId="0" applyFont="1" applyFill="1" applyBorder="1" applyAlignment="1">
      <alignment horizontal="center" vertical="center"/>
    </xf>
    <xf numFmtId="0" fontId="1" fillId="12" borderId="39" xfId="0" applyFont="1" applyFill="1" applyBorder="1" applyAlignment="1">
      <alignment horizontal="center"/>
    </xf>
    <xf numFmtId="0" fontId="1" fillId="12" borderId="28" xfId="0" applyFont="1" applyFill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8" fillId="16" borderId="34" xfId="0" applyFont="1" applyFill="1" applyBorder="1" applyAlignment="1">
      <alignment horizontal="center"/>
    </xf>
    <xf numFmtId="0" fontId="28" fillId="16" borderId="36" xfId="0" applyFont="1" applyFill="1" applyBorder="1" applyAlignment="1">
      <alignment horizontal="center"/>
    </xf>
    <xf numFmtId="0" fontId="28" fillId="0" borderId="18" xfId="0" applyFont="1" applyBorder="1" applyAlignment="1">
      <alignment horizontal="left"/>
    </xf>
    <xf numFmtId="0" fontId="28" fillId="0" borderId="20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25" xfId="0" applyFont="1" applyBorder="1" applyAlignment="1">
      <alignment horizontal="left"/>
    </xf>
    <xf numFmtId="0" fontId="1" fillId="0" borderId="56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42" fontId="27" fillId="0" borderId="80" xfId="0" applyNumberFormat="1" applyFont="1" applyBorder="1" applyAlignment="1">
      <alignment horizontal="center"/>
    </xf>
    <xf numFmtId="42" fontId="27" fillId="0" borderId="67" xfId="0" applyNumberFormat="1" applyFont="1" applyBorder="1" applyAlignment="1">
      <alignment horizontal="center"/>
    </xf>
    <xf numFmtId="42" fontId="27" fillId="0" borderId="80" xfId="0" applyNumberFormat="1" applyFont="1" applyFill="1" applyBorder="1" applyAlignment="1">
      <alignment horizontal="center"/>
    </xf>
    <xf numFmtId="42" fontId="27" fillId="0" borderId="67" xfId="0" applyNumberFormat="1" applyFont="1" applyFill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28" fillId="0" borderId="53" xfId="0" applyFont="1" applyBorder="1" applyAlignment="1">
      <alignment horizontal="center"/>
    </xf>
    <xf numFmtId="0" fontId="27" fillId="0" borderId="59" xfId="0" applyFont="1" applyBorder="1" applyAlignment="1">
      <alignment horizontal="left"/>
    </xf>
    <xf numFmtId="0" fontId="27" fillId="0" borderId="60" xfId="0" applyFont="1" applyBorder="1" applyAlignment="1">
      <alignment horizontal="left"/>
    </xf>
    <xf numFmtId="0" fontId="28" fillId="16" borderId="22" xfId="0" applyFont="1" applyFill="1" applyBorder="1" applyAlignment="1">
      <alignment horizontal="center"/>
    </xf>
    <xf numFmtId="0" fontId="28" fillId="16" borderId="55" xfId="0" applyFont="1" applyFill="1" applyBorder="1" applyAlignment="1">
      <alignment horizontal="left"/>
    </xf>
    <xf numFmtId="0" fontId="28" fillId="16" borderId="57" xfId="0" applyFont="1" applyFill="1" applyBorder="1" applyAlignment="1">
      <alignment horizontal="left"/>
    </xf>
    <xf numFmtId="0" fontId="28" fillId="19" borderId="34" xfId="0" applyFont="1" applyFill="1" applyBorder="1" applyAlignment="1">
      <alignment horizontal="left"/>
    </xf>
    <xf numFmtId="0" fontId="28" fillId="19" borderId="36" xfId="0" applyFont="1" applyFill="1" applyBorder="1" applyAlignment="1">
      <alignment horizontal="left"/>
    </xf>
    <xf numFmtId="0" fontId="28" fillId="0" borderId="56" xfId="0" applyFont="1" applyBorder="1" applyAlignment="1">
      <alignment horizontal="center"/>
    </xf>
    <xf numFmtId="0" fontId="28" fillId="0" borderId="58" xfId="0" applyFont="1" applyBorder="1" applyAlignment="1">
      <alignment horizontal="center"/>
    </xf>
    <xf numFmtId="0" fontId="32" fillId="22" borderId="34" xfId="0" applyFont="1" applyFill="1" applyBorder="1" applyAlignment="1">
      <alignment horizontal="left"/>
    </xf>
    <xf numFmtId="0" fontId="32" fillId="22" borderId="36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2" fillId="22" borderId="39" xfId="0" applyFont="1" applyFill="1" applyBorder="1" applyAlignment="1">
      <alignment horizontal="left"/>
    </xf>
    <xf numFmtId="0" fontId="32" fillId="22" borderId="28" xfId="0" applyFont="1" applyFill="1" applyBorder="1" applyAlignment="1">
      <alignment horizontal="left"/>
    </xf>
    <xf numFmtId="0" fontId="0" fillId="3" borderId="1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1" fillId="14" borderId="3" xfId="0" applyFont="1" applyFill="1" applyBorder="1" applyAlignment="1">
      <alignment horizontal="center" vertical="center"/>
    </xf>
    <xf numFmtId="0" fontId="11" fillId="14" borderId="4" xfId="0" applyFont="1" applyFill="1" applyBorder="1" applyAlignment="1">
      <alignment horizontal="center" vertical="center"/>
    </xf>
    <xf numFmtId="0" fontId="32" fillId="23" borderId="39" xfId="0" applyFont="1" applyFill="1" applyBorder="1" applyAlignment="1">
      <alignment horizontal="left"/>
    </xf>
    <xf numFmtId="0" fontId="32" fillId="23" borderId="38" xfId="0" applyFont="1" applyFill="1" applyBorder="1" applyAlignment="1">
      <alignment horizontal="left"/>
    </xf>
    <xf numFmtId="0" fontId="32" fillId="23" borderId="30" xfId="0" applyFont="1" applyFill="1" applyBorder="1" applyAlignment="1">
      <alignment horizontal="left" vertical="center"/>
    </xf>
    <xf numFmtId="0" fontId="32" fillId="23" borderId="42" xfId="0" applyFont="1" applyFill="1" applyBorder="1" applyAlignment="1">
      <alignment horizontal="left" vertical="center"/>
    </xf>
    <xf numFmtId="164" fontId="16" fillId="0" borderId="8" xfId="0" applyNumberFormat="1" applyFont="1" applyBorder="1" applyAlignment="1">
      <alignment horizontal="center"/>
    </xf>
    <xf numFmtId="164" fontId="16" fillId="0" borderId="9" xfId="0" applyNumberFormat="1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center"/>
    </xf>
    <xf numFmtId="164" fontId="0" fillId="5" borderId="8" xfId="0" applyNumberForma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164" fontId="16" fillId="5" borderId="8" xfId="0" applyNumberFormat="1" applyFont="1" applyFill="1" applyBorder="1" applyAlignment="1">
      <alignment horizontal="center"/>
    </xf>
    <xf numFmtId="164" fontId="16" fillId="5" borderId="9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16" fillId="8" borderId="8" xfId="0" applyNumberFormat="1" applyFont="1" applyFill="1" applyBorder="1" applyAlignment="1">
      <alignment horizontal="center"/>
    </xf>
    <xf numFmtId="164" fontId="16" fillId="8" borderId="9" xfId="0" applyNumberFormat="1" applyFont="1" applyFill="1" applyBorder="1" applyAlignment="1">
      <alignment horizontal="center"/>
    </xf>
    <xf numFmtId="0" fontId="4" fillId="8" borderId="8" xfId="0" applyFont="1" applyFill="1" applyBorder="1" applyAlignment="1">
      <alignment horizontal="left"/>
    </xf>
    <xf numFmtId="0" fontId="4" fillId="8" borderId="9" xfId="0" applyFont="1" applyFill="1" applyBorder="1" applyAlignment="1">
      <alignment horizontal="left"/>
    </xf>
    <xf numFmtId="164" fontId="16" fillId="0" borderId="6" xfId="0" applyNumberFormat="1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20" borderId="8" xfId="0" applyFont="1" applyFill="1" applyBorder="1" applyAlignment="1">
      <alignment horizontal="center"/>
    </xf>
    <xf numFmtId="0" fontId="4" fillId="20" borderId="9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4" fillId="0" borderId="47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8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11" fillId="14" borderId="6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20" borderId="8" xfId="0" applyFont="1" applyFill="1" applyBorder="1" applyAlignment="1">
      <alignment horizontal="center"/>
    </xf>
    <xf numFmtId="0" fontId="16" fillId="20" borderId="9" xfId="0" applyFont="1" applyFill="1" applyBorder="1" applyAlignment="1">
      <alignment horizontal="center"/>
    </xf>
    <xf numFmtId="0" fontId="16" fillId="2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11" borderId="1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4" fontId="9" fillId="29" borderId="1" xfId="0" applyNumberFormat="1" applyFont="1" applyFill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/>
    </xf>
    <xf numFmtId="164" fontId="16" fillId="0" borderId="9" xfId="0" applyNumberFormat="1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11" fillId="15" borderId="4" xfId="0" applyFont="1" applyFill="1" applyBorder="1" applyAlignment="1">
      <alignment horizontal="center"/>
    </xf>
    <xf numFmtId="0" fontId="11" fillId="15" borderId="6" xfId="0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32" fillId="23" borderId="39" xfId="0" applyFont="1" applyFill="1" applyBorder="1" applyAlignment="1">
      <alignment horizontal="left" vertical="center"/>
    </xf>
    <xf numFmtId="0" fontId="32" fillId="23" borderId="28" xfId="0" applyFont="1" applyFill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0" fillId="9" borderId="1" xfId="0" applyFill="1" applyBorder="1" applyAlignment="1">
      <alignment horizontal="center"/>
    </xf>
    <xf numFmtId="0" fontId="27" fillId="0" borderId="55" xfId="0" applyFont="1" applyBorder="1" applyAlignment="1">
      <alignment horizontal="left"/>
    </xf>
    <xf numFmtId="0" fontId="27" fillId="0" borderId="9" xfId="0" applyFont="1" applyBorder="1" applyAlignment="1">
      <alignment horizontal="left"/>
    </xf>
    <xf numFmtId="0" fontId="27" fillId="0" borderId="55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8" fillId="0" borderId="55" xfId="0" applyFont="1" applyBorder="1" applyAlignment="1">
      <alignment horizontal="left"/>
    </xf>
    <xf numFmtId="0" fontId="28" fillId="0" borderId="9" xfId="0" applyFont="1" applyBorder="1" applyAlignment="1">
      <alignment horizontal="left"/>
    </xf>
    <xf numFmtId="14" fontId="9" fillId="29" borderId="22" xfId="0" applyNumberFormat="1" applyFont="1" applyFill="1" applyBorder="1" applyAlignment="1">
      <alignment horizontal="center" vertical="center"/>
    </xf>
    <xf numFmtId="0" fontId="8" fillId="0" borderId="7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11" borderId="51" xfId="0" applyFill="1" applyBorder="1" applyAlignment="1">
      <alignment horizontal="center" vertical="center" wrapText="1"/>
    </xf>
    <xf numFmtId="0" fontId="0" fillId="11" borderId="61" xfId="0" applyFill="1" applyBorder="1" applyAlignment="1">
      <alignment horizontal="center" vertical="center" wrapText="1"/>
    </xf>
    <xf numFmtId="0" fontId="0" fillId="11" borderId="56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0" fillId="11" borderId="40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71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41" xfId="0" applyFont="1" applyFill="1" applyBorder="1" applyAlignment="1">
      <alignment horizontal="center"/>
    </xf>
    <xf numFmtId="0" fontId="27" fillId="9" borderId="55" xfId="0" applyFont="1" applyFill="1" applyBorder="1" applyAlignment="1">
      <alignment horizontal="center"/>
    </xf>
    <xf numFmtId="0" fontId="27" fillId="9" borderId="9" xfId="0" applyFont="1" applyFill="1" applyBorder="1" applyAlignment="1">
      <alignment horizontal="center"/>
    </xf>
    <xf numFmtId="0" fontId="28" fillId="9" borderId="55" xfId="0" applyFont="1" applyFill="1" applyBorder="1" applyAlignment="1">
      <alignment horizontal="center"/>
    </xf>
    <xf numFmtId="0" fontId="28" fillId="9" borderId="9" xfId="0" applyFont="1" applyFill="1" applyBorder="1" applyAlignment="1">
      <alignment horizontal="center"/>
    </xf>
    <xf numFmtId="0" fontId="27" fillId="0" borderId="55" xfId="0" applyFont="1" applyBorder="1" applyAlignment="1">
      <alignment horizontal="left" wrapText="1"/>
    </xf>
    <xf numFmtId="0" fontId="27" fillId="0" borderId="9" xfId="0" applyFont="1" applyBorder="1" applyAlignment="1">
      <alignment horizontal="left" wrapText="1"/>
    </xf>
    <xf numFmtId="0" fontId="27" fillId="0" borderId="86" xfId="0" applyFont="1" applyBorder="1" applyAlignment="1">
      <alignment horizontal="center"/>
    </xf>
    <xf numFmtId="0" fontId="27" fillId="0" borderId="46" xfId="0" applyFont="1" applyBorder="1" applyAlignment="1">
      <alignment horizontal="center"/>
    </xf>
    <xf numFmtId="164" fontId="27" fillId="0" borderId="6" xfId="0" applyNumberFormat="1" applyFont="1" applyBorder="1" applyAlignment="1">
      <alignment horizontal="center"/>
    </xf>
    <xf numFmtId="164" fontId="27" fillId="0" borderId="7" xfId="0" applyNumberFormat="1" applyFont="1" applyBorder="1" applyAlignment="1">
      <alignment horizontal="center"/>
    </xf>
    <xf numFmtId="0" fontId="28" fillId="0" borderId="87" xfId="0" applyFont="1" applyBorder="1" applyAlignment="1">
      <alignment horizontal="center" wrapText="1"/>
    </xf>
    <xf numFmtId="0" fontId="28" fillId="0" borderId="48" xfId="0" applyFont="1" applyBorder="1" applyAlignment="1">
      <alignment horizontal="center" wrapText="1"/>
    </xf>
    <xf numFmtId="0" fontId="28" fillId="0" borderId="89" xfId="0" applyFont="1" applyBorder="1" applyAlignment="1">
      <alignment horizontal="center"/>
    </xf>
    <xf numFmtId="0" fontId="28" fillId="0" borderId="50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8" fillId="8" borderId="55" xfId="0" applyFont="1" applyFill="1" applyBorder="1" applyAlignment="1">
      <alignment horizontal="left"/>
    </xf>
    <xf numFmtId="0" fontId="28" fillId="8" borderId="9" xfId="0" applyFont="1" applyFill="1" applyBorder="1" applyAlignment="1">
      <alignment horizontal="left"/>
    </xf>
    <xf numFmtId="164" fontId="27" fillId="8" borderId="8" xfId="0" applyNumberFormat="1" applyFont="1" applyFill="1" applyBorder="1" applyAlignment="1">
      <alignment horizontal="center"/>
    </xf>
    <xf numFmtId="164" fontId="27" fillId="8" borderId="9" xfId="0" applyNumberFormat="1" applyFont="1" applyFill="1" applyBorder="1" applyAlignment="1">
      <alignment horizontal="center"/>
    </xf>
    <xf numFmtId="0" fontId="27" fillId="0" borderId="8" xfId="0" applyFont="1" applyFill="1" applyBorder="1" applyAlignment="1"/>
    <xf numFmtId="0" fontId="27" fillId="0" borderId="9" xfId="0" applyFont="1" applyFill="1" applyBorder="1" applyAlignment="1"/>
    <xf numFmtId="44" fontId="27" fillId="0" borderId="8" xfId="0" applyNumberFormat="1" applyFont="1" applyFill="1" applyBorder="1" applyAlignment="1"/>
    <xf numFmtId="44" fontId="27" fillId="0" borderId="9" xfId="0" applyNumberFormat="1" applyFont="1" applyFill="1" applyBorder="1" applyAlignment="1"/>
    <xf numFmtId="0" fontId="28" fillId="5" borderId="55" xfId="0" applyFont="1" applyFill="1" applyBorder="1" applyAlignment="1">
      <alignment horizontal="left"/>
    </xf>
    <xf numFmtId="0" fontId="28" fillId="5" borderId="9" xfId="0" applyFont="1" applyFill="1" applyBorder="1" applyAlignment="1">
      <alignment horizontal="left"/>
    </xf>
    <xf numFmtId="44" fontId="27" fillId="5" borderId="8" xfId="0" applyNumberFormat="1" applyFont="1" applyFill="1" applyBorder="1" applyAlignment="1">
      <alignment horizontal="center"/>
    </xf>
    <xf numFmtId="44" fontId="27" fillId="5" borderId="9" xfId="0" applyNumberFormat="1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0" fontId="32" fillId="23" borderId="43" xfId="0" applyFont="1" applyFill="1" applyBorder="1" applyAlignment="1">
      <alignment horizontal="left"/>
    </xf>
    <xf numFmtId="0" fontId="32" fillId="23" borderId="66" xfId="0" applyFont="1" applyFill="1" applyBorder="1" applyAlignment="1">
      <alignment horizontal="left"/>
    </xf>
    <xf numFmtId="0" fontId="32" fillId="23" borderId="44" xfId="0" applyFont="1" applyFill="1" applyBorder="1" applyAlignment="1">
      <alignment horizontal="left"/>
    </xf>
    <xf numFmtId="0" fontId="32" fillId="23" borderId="65" xfId="0" applyFont="1" applyFill="1" applyBorder="1" applyAlignment="1">
      <alignment horizontal="left"/>
    </xf>
    <xf numFmtId="0" fontId="27" fillId="0" borderId="81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30" fillId="0" borderId="72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8" fillId="10" borderId="55" xfId="0" applyFont="1" applyFill="1" applyBorder="1" applyAlignment="1">
      <alignment horizontal="left"/>
    </xf>
    <xf numFmtId="0" fontId="28" fillId="10" borderId="9" xfId="0" applyFont="1" applyFill="1" applyBorder="1" applyAlignment="1">
      <alignment horizontal="left"/>
    </xf>
    <xf numFmtId="0" fontId="0" fillId="11" borderId="76" xfId="0" applyFill="1" applyBorder="1" applyAlignment="1">
      <alignment horizontal="center" vertical="center"/>
    </xf>
    <xf numFmtId="0" fontId="32" fillId="23" borderId="26" xfId="0" applyFont="1" applyFill="1" applyBorder="1" applyAlignment="1">
      <alignment horizontal="center" vertical="center"/>
    </xf>
    <xf numFmtId="0" fontId="32" fillId="23" borderId="27" xfId="0" applyFont="1" applyFill="1" applyBorder="1" applyAlignment="1">
      <alignment horizontal="center" vertical="center"/>
    </xf>
    <xf numFmtId="0" fontId="28" fillId="19" borderId="55" xfId="0" applyFont="1" applyFill="1" applyBorder="1" applyAlignment="1">
      <alignment horizontal="left"/>
    </xf>
    <xf numFmtId="0" fontId="28" fillId="19" borderId="9" xfId="0" applyFont="1" applyFill="1" applyBorder="1" applyAlignment="1">
      <alignment horizontal="left"/>
    </xf>
    <xf numFmtId="0" fontId="27" fillId="0" borderId="16" xfId="0" applyFont="1" applyBorder="1" applyAlignment="1">
      <alignment horizontal="center"/>
    </xf>
    <xf numFmtId="0" fontId="28" fillId="10" borderId="55" xfId="0" applyFont="1" applyFill="1" applyBorder="1" applyAlignment="1">
      <alignment horizontal="center"/>
    </xf>
    <xf numFmtId="0" fontId="28" fillId="10" borderId="9" xfId="0" applyFont="1" applyFill="1" applyBorder="1" applyAlignment="1">
      <alignment horizontal="center"/>
    </xf>
    <xf numFmtId="0" fontId="28" fillId="0" borderId="55" xfId="0" applyFont="1" applyBorder="1" applyAlignment="1">
      <alignment horizontal="left" wrapText="1"/>
    </xf>
    <xf numFmtId="0" fontId="28" fillId="0" borderId="9" xfId="0" applyFont="1" applyBorder="1" applyAlignment="1">
      <alignment horizontal="left" wrapText="1"/>
    </xf>
    <xf numFmtId="0" fontId="28" fillId="9" borderId="19" xfId="0" applyFont="1" applyFill="1" applyBorder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28" fillId="9" borderId="80" xfId="0" applyFont="1" applyFill="1" applyBorder="1" applyAlignment="1">
      <alignment horizontal="center"/>
    </xf>
    <xf numFmtId="0" fontId="28" fillId="9" borderId="29" xfId="0" applyFont="1" applyFill="1" applyBorder="1" applyAlignment="1">
      <alignment horizontal="center"/>
    </xf>
    <xf numFmtId="0" fontId="28" fillId="9" borderId="55" xfId="0" applyFont="1" applyFill="1" applyBorder="1" applyAlignment="1">
      <alignment horizontal="left"/>
    </xf>
    <xf numFmtId="0" fontId="28" fillId="9" borderId="9" xfId="0" applyFont="1" applyFill="1" applyBorder="1" applyAlignment="1">
      <alignment horizontal="left"/>
    </xf>
    <xf numFmtId="0" fontId="27" fillId="0" borderId="81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1" fillId="14" borderId="19" xfId="0" applyFont="1" applyFill="1" applyBorder="1" applyAlignment="1">
      <alignment horizontal="center" vertical="center"/>
    </xf>
    <xf numFmtId="0" fontId="31" fillId="14" borderId="20" xfId="0" applyFont="1" applyFill="1" applyBorder="1" applyAlignment="1">
      <alignment horizontal="center" vertical="center"/>
    </xf>
    <xf numFmtId="0" fontId="31" fillId="14" borderId="1" xfId="0" applyFont="1" applyFill="1" applyBorder="1" applyAlignment="1">
      <alignment horizontal="center" vertical="center"/>
    </xf>
    <xf numFmtId="0" fontId="31" fillId="14" borderId="22" xfId="0" applyFont="1" applyFill="1" applyBorder="1" applyAlignment="1">
      <alignment horizontal="center" vertical="center"/>
    </xf>
    <xf numFmtId="14" fontId="31" fillId="14" borderId="24" xfId="0" applyNumberFormat="1" applyFont="1" applyFill="1" applyBorder="1" applyAlignment="1">
      <alignment horizontal="center" vertical="center"/>
    </xf>
    <xf numFmtId="14" fontId="31" fillId="14" borderId="25" xfId="0" applyNumberFormat="1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/>
    </xf>
    <xf numFmtId="0" fontId="38" fillId="19" borderId="55" xfId="0" applyFont="1" applyFill="1" applyBorder="1" applyAlignment="1">
      <alignment horizontal="left"/>
    </xf>
    <xf numFmtId="0" fontId="38" fillId="19" borderId="9" xfId="0" applyFont="1" applyFill="1" applyBorder="1" applyAlignment="1">
      <alignment horizontal="left"/>
    </xf>
    <xf numFmtId="0" fontId="39" fillId="23" borderId="39" xfId="0" applyFont="1" applyFill="1" applyBorder="1" applyAlignment="1">
      <alignment horizontal="center"/>
    </xf>
    <xf numFmtId="0" fontId="39" fillId="23" borderId="28" xfId="0" applyFont="1" applyFill="1" applyBorder="1" applyAlignment="1">
      <alignment horizontal="center"/>
    </xf>
    <xf numFmtId="0" fontId="28" fillId="0" borderId="26" xfId="0" applyFont="1" applyBorder="1" applyAlignment="1">
      <alignment horizontal="left"/>
    </xf>
    <xf numFmtId="0" fontId="28" fillId="0" borderId="27" xfId="0" applyFont="1" applyBorder="1" applyAlignment="1">
      <alignment horizontal="left"/>
    </xf>
    <xf numFmtId="0" fontId="27" fillId="0" borderId="40" xfId="0" applyFont="1" applyFill="1" applyBorder="1" applyAlignment="1">
      <alignment horizontal="left"/>
    </xf>
    <xf numFmtId="0" fontId="27" fillId="0" borderId="7" xfId="0" applyFont="1" applyFill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0" fillId="11" borderId="85" xfId="0" applyFill="1" applyBorder="1" applyAlignment="1">
      <alignment horizontal="center" vertical="center"/>
    </xf>
    <xf numFmtId="0" fontId="10" fillId="0" borderId="5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9" borderId="55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0" fillId="9" borderId="55" xfId="0" applyFont="1" applyFill="1" applyBorder="1" applyAlignment="1">
      <alignment horizontal="left"/>
    </xf>
    <xf numFmtId="0" fontId="10" fillId="9" borderId="9" xfId="0" applyFont="1" applyFill="1" applyBorder="1" applyAlignment="1">
      <alignment horizontal="left"/>
    </xf>
    <xf numFmtId="0" fontId="12" fillId="0" borderId="55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8" fillId="0" borderId="5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9" borderId="55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41" fillId="0" borderId="55" xfId="0" applyFont="1" applyBorder="1" applyAlignment="1">
      <alignment horizontal="left"/>
    </xf>
    <xf numFmtId="0" fontId="41" fillId="0" borderId="9" xfId="0" applyFont="1" applyBorder="1" applyAlignment="1">
      <alignment horizontal="left"/>
    </xf>
    <xf numFmtId="0" fontId="39" fillId="23" borderId="34" xfId="0" applyFont="1" applyFill="1" applyBorder="1" applyAlignment="1">
      <alignment horizontal="center" vertical="center"/>
    </xf>
    <xf numFmtId="0" fontId="39" fillId="23" borderId="35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left"/>
    </xf>
    <xf numFmtId="0" fontId="27" fillId="0" borderId="9" xfId="0" applyFont="1" applyFill="1" applyBorder="1" applyAlignment="1">
      <alignment horizontal="left"/>
    </xf>
    <xf numFmtId="0" fontId="28" fillId="0" borderId="8" xfId="0" applyFont="1" applyFill="1" applyBorder="1" applyAlignment="1">
      <alignment horizontal="left"/>
    </xf>
    <xf numFmtId="0" fontId="28" fillId="0" borderId="9" xfId="0" applyFont="1" applyFill="1" applyBorder="1" applyAlignment="1">
      <alignment horizontal="left"/>
    </xf>
    <xf numFmtId="0" fontId="27" fillId="0" borderId="3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0" fillId="11" borderId="12" xfId="0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/>
    </xf>
    <xf numFmtId="0" fontId="28" fillId="0" borderId="8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0" fontId="32" fillId="23" borderId="39" xfId="0" applyFont="1" applyFill="1" applyBorder="1" applyAlignment="1">
      <alignment horizontal="center"/>
    </xf>
    <xf numFmtId="0" fontId="32" fillId="23" borderId="28" xfId="0" applyFont="1" applyFill="1" applyBorder="1" applyAlignment="1">
      <alignment horizontal="center"/>
    </xf>
    <xf numFmtId="0" fontId="28" fillId="28" borderId="39" xfId="0" applyFont="1" applyFill="1" applyBorder="1" applyAlignment="1">
      <alignment horizontal="center"/>
    </xf>
    <xf numFmtId="0" fontId="28" fillId="28" borderId="28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9" borderId="40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0" fillId="9" borderId="81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65" xfId="0" applyFont="1" applyBorder="1" applyAlignment="1">
      <alignment horizontal="left"/>
    </xf>
    <xf numFmtId="0" fontId="4" fillId="9" borderId="40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16" fillId="0" borderId="55" xfId="0" applyFont="1" applyBorder="1" applyAlignment="1">
      <alignment horizontal="left"/>
    </xf>
    <xf numFmtId="0" fontId="1" fillId="0" borderId="5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4" fillId="9" borderId="68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10" fillId="0" borderId="18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32" fillId="23" borderId="18" xfId="0" applyFont="1" applyFill="1" applyBorder="1" applyAlignment="1">
      <alignment horizontal="left"/>
    </xf>
    <xf numFmtId="0" fontId="32" fillId="23" borderId="23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16" fillId="0" borderId="23" xfId="0" applyFont="1" applyBorder="1" applyAlignment="1">
      <alignment horizontal="left"/>
    </xf>
    <xf numFmtId="0" fontId="16" fillId="0" borderId="44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1" fillId="0" borderId="6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0" fontId="0" fillId="11" borderId="30" xfId="0" applyFill="1" applyBorder="1" applyAlignment="1">
      <alignment horizontal="center" vertical="center" wrapText="1"/>
    </xf>
    <xf numFmtId="0" fontId="0" fillId="11" borderId="31" xfId="0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59" xfId="0" applyBorder="1" applyAlignment="1">
      <alignment horizontal="center"/>
    </xf>
    <xf numFmtId="0" fontId="52" fillId="23" borderId="34" xfId="0" applyFont="1" applyFill="1" applyBorder="1" applyAlignment="1">
      <alignment horizontal="center"/>
    </xf>
    <xf numFmtId="0" fontId="52" fillId="23" borderId="37" xfId="0" applyFont="1" applyFill="1" applyBorder="1" applyAlignment="1">
      <alignment horizontal="center"/>
    </xf>
    <xf numFmtId="0" fontId="9" fillId="25" borderId="19" xfId="0" applyFont="1" applyFill="1" applyBorder="1" applyAlignment="1">
      <alignment horizontal="center" vertical="center"/>
    </xf>
    <xf numFmtId="0" fontId="9" fillId="25" borderId="20" xfId="0" applyFont="1" applyFill="1" applyBorder="1" applyAlignment="1">
      <alignment horizontal="center" vertical="center"/>
    </xf>
    <xf numFmtId="0" fontId="9" fillId="25" borderId="1" xfId="0" applyFont="1" applyFill="1" applyBorder="1" applyAlignment="1">
      <alignment horizontal="center" vertical="center"/>
    </xf>
    <xf numFmtId="0" fontId="9" fillId="25" borderId="22" xfId="0" applyFont="1" applyFill="1" applyBorder="1" applyAlignment="1">
      <alignment horizontal="center" vertical="center"/>
    </xf>
    <xf numFmtId="14" fontId="9" fillId="25" borderId="24" xfId="0" applyNumberFormat="1" applyFont="1" applyFill="1" applyBorder="1" applyAlignment="1">
      <alignment horizontal="center" vertical="center"/>
    </xf>
    <xf numFmtId="14" fontId="9" fillId="25" borderId="25" xfId="0" applyNumberFormat="1" applyFont="1" applyFill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5">
    <cellStyle name="Moneda" xfId="1" builtinId="4"/>
    <cellStyle name="Normal" xfId="0" builtinId="0"/>
    <cellStyle name="Normal 2" xfId="3"/>
    <cellStyle name="Normal 2 2" xfId="4"/>
    <cellStyle name="Porcentual" xfId="2" builtinId="5"/>
  </cellStyles>
  <dxfs count="0"/>
  <tableStyles count="0" defaultTableStyle="TableStyleMedium2" defaultPivotStyle="PivotStyleLight16"/>
  <colors>
    <mruColors>
      <color rgb="FF33CC33"/>
      <color rgb="FFCC66FF"/>
      <color rgb="FF99FF66"/>
      <color rgb="FFFFCC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911678</xdr:colOff>
      <xdr:row>334</xdr:row>
      <xdr:rowOff>81643</xdr:rowOff>
    </xdr:from>
    <xdr:to>
      <xdr:col>10</xdr:col>
      <xdr:colOff>136072</xdr:colOff>
      <xdr:row>336</xdr:row>
      <xdr:rowOff>285750</xdr:rowOff>
    </xdr:to>
    <xdr:sp macro="" textlink="">
      <xdr:nvSpPr>
        <xdr:cNvPr id="2" name="1 Corchetes"/>
        <xdr:cNvSpPr/>
      </xdr:nvSpPr>
      <xdr:spPr>
        <a:xfrm>
          <a:off x="5442857" y="30588857"/>
          <a:ext cx="4340679" cy="70757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6</xdr:col>
      <xdr:colOff>190500</xdr:colOff>
      <xdr:row>89</xdr:row>
      <xdr:rowOff>56027</xdr:rowOff>
    </xdr:from>
    <xdr:to>
      <xdr:col>11</xdr:col>
      <xdr:colOff>672354</xdr:colOff>
      <xdr:row>94</xdr:row>
      <xdr:rowOff>190499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974" t="42898" r="23081" b="43620"/>
        <a:stretch/>
      </xdr:blipFill>
      <xdr:spPr>
        <a:xfrm>
          <a:off x="6342529" y="25325292"/>
          <a:ext cx="6107207" cy="9861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os%20de%20soporte/Puntos%20de%20Salida%20Promigas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%20Recibida/Correo%2028-10-14/PROYECTO%20CNO%20GAS%20-%20CREG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x10"/>
      <sheetName val="12x20"/>
      <sheetName val="20x20"/>
      <sheetName val="Ing&amp;Dis"/>
      <sheetName val="Civil"/>
      <sheetName val="Intervento"/>
      <sheetName val="END"/>
      <sheetName val="Tapping"/>
    </sheetNames>
    <sheetDataSet>
      <sheetData sheetId="0"/>
      <sheetData sheetId="1"/>
      <sheetData sheetId="2"/>
      <sheetData sheetId="3"/>
      <sheetData sheetId="4"/>
      <sheetData sheetId="5">
        <row r="39">
          <cell r="E39">
            <v>6776.4768414589134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9">
          <cell r="D9">
            <v>39200</v>
          </cell>
          <cell r="E9">
            <v>56800</v>
          </cell>
          <cell r="F9">
            <v>68000</v>
          </cell>
          <cell r="H9">
            <v>136000</v>
          </cell>
          <cell r="I9">
            <v>226000</v>
          </cell>
          <cell r="J9">
            <v>330000</v>
          </cell>
          <cell r="K9">
            <v>708000</v>
          </cell>
          <cell r="L9">
            <v>913000</v>
          </cell>
        </row>
        <row r="12">
          <cell r="D12">
            <v>5000</v>
          </cell>
          <cell r="E12">
            <v>7300</v>
          </cell>
          <cell r="F12">
            <v>7800</v>
          </cell>
          <cell r="G12">
            <v>10600</v>
          </cell>
          <cell r="H12">
            <v>16300</v>
          </cell>
          <cell r="I12">
            <v>21600</v>
          </cell>
          <cell r="J12">
            <v>32000</v>
          </cell>
          <cell r="K12">
            <v>41000</v>
          </cell>
          <cell r="L12">
            <v>60080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L11" sqref="L11"/>
    </sheetView>
  </sheetViews>
  <sheetFormatPr baseColWidth="10" defaultRowHeight="15"/>
  <cols>
    <col min="1" max="1" width="26.42578125" style="57" customWidth="1"/>
    <col min="2" max="2" width="13.28515625" style="57" customWidth="1"/>
    <col min="3" max="3" width="14.140625" style="57" customWidth="1"/>
    <col min="4" max="4" width="11.5703125" style="57" customWidth="1"/>
    <col min="5" max="5" width="16.7109375" style="57" customWidth="1"/>
    <col min="6" max="6" width="16.85546875" style="57" customWidth="1"/>
    <col min="7" max="7" width="19.5703125" style="57" customWidth="1"/>
    <col min="8" max="16384" width="11.42578125" style="57"/>
  </cols>
  <sheetData>
    <row r="1" spans="1:7" ht="15" customHeight="1">
      <c r="A1" s="890" t="s">
        <v>313</v>
      </c>
      <c r="B1" s="879" t="s">
        <v>337</v>
      </c>
      <c r="C1" s="880"/>
      <c r="D1" s="880"/>
      <c r="E1" s="880"/>
      <c r="F1" s="881"/>
      <c r="G1" s="115" t="s">
        <v>342</v>
      </c>
    </row>
    <row r="2" spans="1:7" ht="20.25" customHeight="1">
      <c r="A2" s="891"/>
      <c r="B2" s="882"/>
      <c r="C2" s="883"/>
      <c r="D2" s="883"/>
      <c r="E2" s="883"/>
      <c r="F2" s="884"/>
      <c r="G2" s="115" t="s">
        <v>165</v>
      </c>
    </row>
    <row r="3" spans="1:7" ht="27.75" customHeight="1">
      <c r="A3" s="892"/>
      <c r="B3" s="885" t="s">
        <v>341</v>
      </c>
      <c r="C3" s="886"/>
      <c r="D3" s="886"/>
      <c r="E3" s="886"/>
      <c r="F3" s="887"/>
      <c r="G3" s="116">
        <v>41948</v>
      </c>
    </row>
    <row r="4" spans="1:7" ht="15" customHeight="1">
      <c r="A4" s="888" t="s">
        <v>312</v>
      </c>
      <c r="B4" s="888"/>
      <c r="C4" s="888" t="s">
        <v>311</v>
      </c>
      <c r="D4" s="888"/>
      <c r="E4" s="888" t="s">
        <v>310</v>
      </c>
      <c r="F4" s="888"/>
      <c r="G4" s="93" t="s">
        <v>309</v>
      </c>
    </row>
    <row r="5" spans="1:7" ht="15.75" thickBot="1">
      <c r="A5" s="889"/>
      <c r="B5" s="889"/>
      <c r="C5" s="893" t="s">
        <v>308</v>
      </c>
      <c r="D5" s="893"/>
      <c r="E5" s="893" t="s">
        <v>307</v>
      </c>
      <c r="F5" s="893"/>
      <c r="G5" s="108" t="s">
        <v>306</v>
      </c>
    </row>
    <row r="6" spans="1:7">
      <c r="A6" s="871" t="s">
        <v>305</v>
      </c>
      <c r="B6" s="872"/>
      <c r="C6" s="868" t="s">
        <v>303</v>
      </c>
      <c r="D6" s="868"/>
      <c r="E6" s="868" t="s">
        <v>292</v>
      </c>
      <c r="F6" s="868"/>
      <c r="G6" s="894" t="s">
        <v>288</v>
      </c>
    </row>
    <row r="7" spans="1:7">
      <c r="A7" s="873"/>
      <c r="B7" s="874"/>
      <c r="C7" s="859"/>
      <c r="D7" s="859"/>
      <c r="E7" s="859" t="s">
        <v>290</v>
      </c>
      <c r="F7" s="859"/>
      <c r="G7" s="895"/>
    </row>
    <row r="8" spans="1:7">
      <c r="A8" s="873"/>
      <c r="B8" s="874"/>
      <c r="C8" s="859" t="s">
        <v>302</v>
      </c>
      <c r="D8" s="859"/>
      <c r="E8" s="859" t="s">
        <v>292</v>
      </c>
      <c r="F8" s="859"/>
      <c r="G8" s="895" t="s">
        <v>288</v>
      </c>
    </row>
    <row r="9" spans="1:7">
      <c r="A9" s="873"/>
      <c r="B9" s="874"/>
      <c r="C9" s="859"/>
      <c r="D9" s="859"/>
      <c r="E9" s="859" t="s">
        <v>290</v>
      </c>
      <c r="F9" s="859"/>
      <c r="G9" s="895"/>
    </row>
    <row r="10" spans="1:7" ht="23.25" customHeight="1">
      <c r="A10" s="873"/>
      <c r="B10" s="874"/>
      <c r="C10" s="859" t="s">
        <v>316</v>
      </c>
      <c r="D10" s="859"/>
      <c r="E10" s="875" t="s">
        <v>580</v>
      </c>
      <c r="F10" s="876"/>
      <c r="G10" s="720" t="s">
        <v>288</v>
      </c>
    </row>
    <row r="11" spans="1:7" ht="24.75" customHeight="1" thickBot="1">
      <c r="A11" s="873"/>
      <c r="B11" s="874"/>
      <c r="C11" s="860"/>
      <c r="D11" s="860"/>
      <c r="E11" s="877"/>
      <c r="F11" s="878"/>
      <c r="G11" s="720" t="s">
        <v>581</v>
      </c>
    </row>
    <row r="12" spans="1:7">
      <c r="A12" s="867" t="s">
        <v>304</v>
      </c>
      <c r="B12" s="868"/>
      <c r="C12" s="868" t="s">
        <v>303</v>
      </c>
      <c r="D12" s="868"/>
      <c r="E12" s="868" t="s">
        <v>292</v>
      </c>
      <c r="F12" s="868"/>
      <c r="G12" s="894" t="s">
        <v>288</v>
      </c>
    </row>
    <row r="13" spans="1:7">
      <c r="A13" s="869"/>
      <c r="B13" s="859"/>
      <c r="C13" s="859"/>
      <c r="D13" s="859"/>
      <c r="E13" s="859" t="s">
        <v>290</v>
      </c>
      <c r="F13" s="859"/>
      <c r="G13" s="895"/>
    </row>
    <row r="14" spans="1:7">
      <c r="A14" s="869"/>
      <c r="B14" s="859"/>
      <c r="C14" s="859" t="s">
        <v>302</v>
      </c>
      <c r="D14" s="859"/>
      <c r="E14" s="859" t="s">
        <v>292</v>
      </c>
      <c r="F14" s="859"/>
      <c r="G14" s="895" t="s">
        <v>288</v>
      </c>
    </row>
    <row r="15" spans="1:7" ht="15.75" thickBot="1">
      <c r="A15" s="870"/>
      <c r="B15" s="860"/>
      <c r="C15" s="860"/>
      <c r="D15" s="860"/>
      <c r="E15" s="860" t="s">
        <v>290</v>
      </c>
      <c r="F15" s="860"/>
      <c r="G15" s="896"/>
    </row>
    <row r="16" spans="1:7" ht="27.75" customHeight="1"/>
    <row r="17" spans="1:7">
      <c r="A17" s="861" t="s">
        <v>301</v>
      </c>
      <c r="B17" s="862"/>
      <c r="C17" s="862"/>
      <c r="D17" s="862"/>
      <c r="E17" s="862"/>
      <c r="F17" s="862"/>
      <c r="G17" s="863"/>
    </row>
    <row r="18" spans="1:7" ht="30" customHeight="1">
      <c r="A18" s="82" t="s">
        <v>300</v>
      </c>
      <c r="B18" s="864" t="s">
        <v>299</v>
      </c>
      <c r="C18" s="865"/>
      <c r="D18" s="865"/>
      <c r="E18" s="865"/>
      <c r="F18" s="865"/>
      <c r="G18" s="866"/>
    </row>
    <row r="19" spans="1:7" ht="32.25" customHeight="1">
      <c r="A19" s="82" t="s">
        <v>298</v>
      </c>
      <c r="B19" s="864" t="s">
        <v>297</v>
      </c>
      <c r="C19" s="865"/>
      <c r="D19" s="865"/>
      <c r="E19" s="865"/>
      <c r="F19" s="865"/>
      <c r="G19" s="866"/>
    </row>
    <row r="20" spans="1:7" ht="33" customHeight="1">
      <c r="A20" s="82" t="s">
        <v>318</v>
      </c>
      <c r="B20" s="864" t="s">
        <v>299</v>
      </c>
      <c r="C20" s="865"/>
      <c r="D20" s="865"/>
      <c r="E20" s="865"/>
      <c r="F20" s="865"/>
      <c r="G20" s="866"/>
    </row>
    <row r="21" spans="1:7" ht="15" customHeight="1"/>
    <row r="22" spans="1:7" ht="30.75" customHeight="1">
      <c r="A22" s="82" t="s">
        <v>296</v>
      </c>
      <c r="B22" s="853" t="s">
        <v>295</v>
      </c>
      <c r="C22" s="854"/>
      <c r="D22" s="854"/>
      <c r="E22" s="854"/>
      <c r="F22" s="854"/>
      <c r="G22" s="855"/>
    </row>
    <row r="23" spans="1:7" ht="30.75" customHeight="1">
      <c r="A23" s="82" t="s">
        <v>294</v>
      </c>
      <c r="B23" s="853" t="s">
        <v>293</v>
      </c>
      <c r="C23" s="854"/>
      <c r="D23" s="854"/>
      <c r="E23" s="854"/>
      <c r="F23" s="854"/>
      <c r="G23" s="855"/>
    </row>
    <row r="24" spans="1:7" ht="30.75" customHeight="1">
      <c r="A24" s="723" t="s">
        <v>314</v>
      </c>
      <c r="B24" s="856" t="s">
        <v>315</v>
      </c>
      <c r="C24" s="857"/>
      <c r="D24" s="857"/>
      <c r="E24" s="857"/>
      <c r="F24" s="857"/>
      <c r="G24" s="858"/>
    </row>
    <row r="25" spans="1:7" ht="17.25" customHeight="1">
      <c r="A25" s="3" t="s">
        <v>292</v>
      </c>
      <c r="B25" s="50" t="s">
        <v>291</v>
      </c>
      <c r="C25" s="81"/>
      <c r="D25" s="81"/>
      <c r="E25" s="81"/>
      <c r="F25" s="81"/>
      <c r="G25" s="51"/>
    </row>
    <row r="26" spans="1:7" ht="17.25" customHeight="1">
      <c r="A26" s="82" t="s">
        <v>290</v>
      </c>
      <c r="B26" s="853" t="s">
        <v>289</v>
      </c>
      <c r="C26" s="854"/>
      <c r="D26" s="854"/>
      <c r="E26" s="854"/>
      <c r="F26" s="854"/>
      <c r="G26" s="855"/>
    </row>
    <row r="27" spans="1:7">
      <c r="A27" s="3" t="s">
        <v>288</v>
      </c>
      <c r="B27" s="50" t="s">
        <v>287</v>
      </c>
      <c r="C27" s="81"/>
      <c r="D27" s="81"/>
      <c r="E27" s="81"/>
      <c r="F27" s="81"/>
      <c r="G27" s="51"/>
    </row>
    <row r="28" spans="1:7" ht="30" customHeight="1">
      <c r="A28" s="92" t="s">
        <v>286</v>
      </c>
      <c r="B28" s="92"/>
      <c r="C28" s="92" t="s">
        <v>285</v>
      </c>
      <c r="D28" s="92"/>
    </row>
    <row r="29" spans="1:7" ht="51" customHeight="1" thickBot="1">
      <c r="A29" s="57" t="s">
        <v>284</v>
      </c>
    </row>
    <row r="30" spans="1:7" ht="51.75" customHeight="1">
      <c r="A30" s="94" t="s">
        <v>266</v>
      </c>
      <c r="B30" s="95"/>
      <c r="C30" s="96" t="s">
        <v>265</v>
      </c>
      <c r="D30" s="97"/>
      <c r="E30" s="91" t="s">
        <v>283</v>
      </c>
      <c r="F30" s="91" t="s">
        <v>282</v>
      </c>
      <c r="G30" s="90" t="s">
        <v>281</v>
      </c>
    </row>
    <row r="31" spans="1:7" ht="45">
      <c r="A31" s="98" t="s">
        <v>280</v>
      </c>
      <c r="B31" s="7" t="s">
        <v>279</v>
      </c>
      <c r="C31" s="99" t="s">
        <v>278</v>
      </c>
      <c r="D31" s="99"/>
      <c r="E31" s="84"/>
      <c r="F31" s="84"/>
      <c r="G31" s="30"/>
    </row>
    <row r="32" spans="1:7" ht="62.25">
      <c r="A32" s="98"/>
      <c r="B32" s="7"/>
      <c r="C32" s="99" t="s">
        <v>277</v>
      </c>
      <c r="D32" s="99"/>
      <c r="E32" s="84"/>
      <c r="F32" s="3"/>
      <c r="G32" s="30"/>
    </row>
    <row r="33" spans="1:7" ht="45">
      <c r="A33" s="98"/>
      <c r="B33" s="7"/>
      <c r="C33" s="99" t="s">
        <v>276</v>
      </c>
      <c r="D33" s="99"/>
      <c r="E33" s="84"/>
      <c r="F33" s="84"/>
      <c r="G33" s="30"/>
    </row>
    <row r="34" spans="1:7" ht="60.75" thickBot="1">
      <c r="A34" s="100"/>
      <c r="B34" s="101"/>
      <c r="C34" s="102" t="s">
        <v>275</v>
      </c>
      <c r="D34" s="102"/>
      <c r="E34" s="89"/>
      <c r="F34" s="88"/>
      <c r="G34" s="83"/>
    </row>
    <row r="35" spans="1:7" ht="15.75" thickBot="1">
      <c r="D35" s="87"/>
    </row>
    <row r="36" spans="1:7" ht="25.5">
      <c r="A36" s="94" t="s">
        <v>266</v>
      </c>
      <c r="B36" s="95"/>
      <c r="C36" s="96" t="s">
        <v>265</v>
      </c>
      <c r="D36" s="97"/>
      <c r="E36" s="86" t="s">
        <v>274</v>
      </c>
      <c r="F36" s="86" t="s">
        <v>273</v>
      </c>
      <c r="G36" s="85" t="s">
        <v>272</v>
      </c>
    </row>
    <row r="37" spans="1:7" ht="77.25">
      <c r="A37" s="98" t="s">
        <v>271</v>
      </c>
      <c r="B37" s="7" t="s">
        <v>270</v>
      </c>
      <c r="C37" s="103" t="s">
        <v>269</v>
      </c>
      <c r="D37" s="103"/>
      <c r="E37" s="84"/>
      <c r="F37" s="3"/>
      <c r="G37" s="30"/>
    </row>
    <row r="38" spans="1:7" ht="39">
      <c r="A38" s="98"/>
      <c r="B38" s="7"/>
      <c r="C38" s="103" t="s">
        <v>268</v>
      </c>
      <c r="D38" s="103"/>
      <c r="E38" s="3"/>
      <c r="F38" s="84"/>
      <c r="G38" s="30"/>
    </row>
    <row r="39" spans="1:7" ht="52.5" thickBot="1">
      <c r="A39" s="100"/>
      <c r="B39" s="101"/>
      <c r="C39" s="104" t="s">
        <v>267</v>
      </c>
      <c r="D39" s="104"/>
      <c r="E39" s="31"/>
      <c r="F39" s="31"/>
      <c r="G39" s="83"/>
    </row>
    <row r="40" spans="1:7" ht="15.75" thickBot="1"/>
    <row r="41" spans="1:7" ht="25.5">
      <c r="A41" s="94" t="s">
        <v>266</v>
      </c>
      <c r="B41" s="95"/>
      <c r="C41" s="96" t="s">
        <v>265</v>
      </c>
      <c r="D41" s="97"/>
      <c r="E41" s="86" t="s">
        <v>264</v>
      </c>
      <c r="F41" s="86" t="s">
        <v>263</v>
      </c>
      <c r="G41" s="85" t="s">
        <v>262</v>
      </c>
    </row>
    <row r="42" spans="1:7" ht="102.75">
      <c r="A42" s="98" t="s">
        <v>261</v>
      </c>
      <c r="B42" s="7" t="s">
        <v>260</v>
      </c>
      <c r="C42" s="103" t="s">
        <v>259</v>
      </c>
      <c r="D42" s="103"/>
      <c r="E42" s="84"/>
      <c r="F42" s="3"/>
      <c r="G42" s="30"/>
    </row>
    <row r="43" spans="1:7" ht="77.25">
      <c r="A43" s="98"/>
      <c r="B43" s="7"/>
      <c r="C43" s="103" t="s">
        <v>258</v>
      </c>
      <c r="D43" s="103"/>
      <c r="E43" s="3"/>
      <c r="F43" s="84"/>
      <c r="G43" s="30"/>
    </row>
    <row r="44" spans="1:7" ht="90.75" thickBot="1">
      <c r="A44" s="100"/>
      <c r="B44" s="101"/>
      <c r="C44" s="104" t="s">
        <v>257</v>
      </c>
      <c r="D44" s="104"/>
      <c r="E44" s="31"/>
      <c r="F44" s="31"/>
      <c r="G44" s="83"/>
    </row>
  </sheetData>
  <mergeCells count="36">
    <mergeCell ref="G6:G7"/>
    <mergeCell ref="E6:F6"/>
    <mergeCell ref="C14:D15"/>
    <mergeCell ref="E13:F13"/>
    <mergeCell ref="G8:G9"/>
    <mergeCell ref="E15:F15"/>
    <mergeCell ref="C8:D9"/>
    <mergeCell ref="G12:G13"/>
    <mergeCell ref="G14:G15"/>
    <mergeCell ref="C12:D13"/>
    <mergeCell ref="E8:F8"/>
    <mergeCell ref="E9:F9"/>
    <mergeCell ref="B1:F2"/>
    <mergeCell ref="B3:F3"/>
    <mergeCell ref="A4:B5"/>
    <mergeCell ref="A1:A3"/>
    <mergeCell ref="E4:F4"/>
    <mergeCell ref="E5:F5"/>
    <mergeCell ref="C4:D4"/>
    <mergeCell ref="C5:D5"/>
    <mergeCell ref="B26:G26"/>
    <mergeCell ref="B24:G24"/>
    <mergeCell ref="C10:D11"/>
    <mergeCell ref="B22:G22"/>
    <mergeCell ref="B23:G23"/>
    <mergeCell ref="A17:G17"/>
    <mergeCell ref="B20:G20"/>
    <mergeCell ref="A12:B15"/>
    <mergeCell ref="E14:F14"/>
    <mergeCell ref="E12:F12"/>
    <mergeCell ref="A6:B11"/>
    <mergeCell ref="E10:F11"/>
    <mergeCell ref="B18:G18"/>
    <mergeCell ref="B19:G19"/>
    <mergeCell ref="C6:D7"/>
    <mergeCell ref="E7:F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04"/>
  <sheetViews>
    <sheetView zoomScale="75" zoomScaleNormal="75" workbookViewId="0">
      <pane ySplit="8" topLeftCell="A42" activePane="bottomLeft" state="frozen"/>
      <selection pane="bottomLeft" activeCell="F44" sqref="F44"/>
    </sheetView>
  </sheetViews>
  <sheetFormatPr baseColWidth="10" defaultRowHeight="15"/>
  <cols>
    <col min="1" max="1" width="28.85546875" customWidth="1"/>
    <col min="2" max="2" width="26" customWidth="1"/>
    <col min="3" max="12" width="18.7109375" customWidth="1"/>
    <col min="13" max="13" width="18.85546875" customWidth="1"/>
  </cols>
  <sheetData>
    <row r="1" spans="1:13" ht="21" customHeight="1">
      <c r="A1" s="1399" t="s">
        <v>167</v>
      </c>
      <c r="B1" s="1400"/>
      <c r="C1" s="1393" t="s">
        <v>337</v>
      </c>
      <c r="D1" s="1394"/>
      <c r="E1" s="1394"/>
      <c r="F1" s="1394"/>
      <c r="G1" s="1394"/>
      <c r="H1" s="1394"/>
      <c r="I1" s="1394"/>
      <c r="J1" s="1394"/>
      <c r="K1" s="1395"/>
      <c r="L1" s="1220" t="s">
        <v>403</v>
      </c>
      <c r="M1" s="1221"/>
    </row>
    <row r="2" spans="1:13" ht="24" customHeight="1">
      <c r="A2" s="1401"/>
      <c r="B2" s="1402"/>
      <c r="C2" s="1396"/>
      <c r="D2" s="1397"/>
      <c r="E2" s="1397"/>
      <c r="F2" s="1397"/>
      <c r="G2" s="1397"/>
      <c r="H2" s="1397"/>
      <c r="I2" s="1397"/>
      <c r="J2" s="1397"/>
      <c r="K2" s="1398"/>
      <c r="L2" s="1222" t="s">
        <v>564</v>
      </c>
      <c r="M2" s="1223"/>
    </row>
    <row r="3" spans="1:13" ht="24" customHeight="1">
      <c r="A3" s="1403"/>
      <c r="B3" s="1404"/>
      <c r="C3" s="1369" t="s">
        <v>169</v>
      </c>
      <c r="D3" s="1370"/>
      <c r="E3" s="1370"/>
      <c r="F3" s="1370"/>
      <c r="G3" s="1370"/>
      <c r="H3" s="1370"/>
      <c r="I3" s="1370"/>
      <c r="J3" s="1370"/>
      <c r="K3" s="1371"/>
      <c r="L3" s="1372">
        <v>41959</v>
      </c>
      <c r="M3" s="1392"/>
    </row>
    <row r="4" spans="1:13">
      <c r="A4" s="191"/>
      <c r="B4" s="192"/>
      <c r="C4" s="1405" t="s">
        <v>74</v>
      </c>
      <c r="D4" s="1406"/>
      <c r="E4" s="1406"/>
      <c r="F4" s="1406"/>
      <c r="G4" s="1406"/>
      <c r="H4" s="1406"/>
      <c r="I4" s="1406"/>
      <c r="J4" s="1406"/>
      <c r="K4" s="1406"/>
      <c r="L4" s="1406"/>
      <c r="M4" s="1407"/>
    </row>
    <row r="5" spans="1:13">
      <c r="A5" s="226" t="s">
        <v>92</v>
      </c>
      <c r="B5" s="193"/>
      <c r="C5" s="1408"/>
      <c r="D5" s="1409"/>
      <c r="E5" s="1409"/>
      <c r="F5" s="1409"/>
      <c r="G5" s="1409"/>
      <c r="H5" s="1409"/>
      <c r="I5" s="1409"/>
      <c r="J5" s="1409"/>
      <c r="K5" s="1409"/>
      <c r="L5" s="1409"/>
      <c r="M5" s="1410"/>
    </row>
    <row r="6" spans="1:13">
      <c r="A6" s="226" t="s">
        <v>70</v>
      </c>
      <c r="B6" s="193"/>
      <c r="C6" s="5"/>
      <c r="D6" s="5"/>
      <c r="E6" s="5"/>
      <c r="F6" s="5"/>
      <c r="G6" s="5"/>
      <c r="H6" s="5"/>
      <c r="I6" s="5"/>
      <c r="J6" s="5"/>
      <c r="K6" s="5"/>
      <c r="L6" s="5"/>
      <c r="M6" s="63"/>
    </row>
    <row r="7" spans="1:13">
      <c r="A7" s="1388" t="s">
        <v>91</v>
      </c>
      <c r="B7" s="1389"/>
      <c r="C7" s="222" t="s">
        <v>89</v>
      </c>
      <c r="D7" s="222" t="s">
        <v>90</v>
      </c>
      <c r="E7" s="222" t="s">
        <v>89</v>
      </c>
      <c r="F7" s="222" t="s">
        <v>90</v>
      </c>
      <c r="G7" s="222" t="s">
        <v>89</v>
      </c>
      <c r="H7" s="222" t="s">
        <v>90</v>
      </c>
      <c r="I7" s="222" t="s">
        <v>89</v>
      </c>
      <c r="J7" s="222" t="s">
        <v>90</v>
      </c>
      <c r="K7" s="222" t="s">
        <v>89</v>
      </c>
      <c r="L7" s="222" t="s">
        <v>90</v>
      </c>
      <c r="M7" s="223"/>
    </row>
    <row r="8" spans="1:13">
      <c r="A8" s="1411" t="s">
        <v>76</v>
      </c>
      <c r="B8" s="1412"/>
      <c r="C8" s="1385" t="s">
        <v>3</v>
      </c>
      <c r="D8" s="1385"/>
      <c r="E8" s="1385" t="s">
        <v>4</v>
      </c>
      <c r="F8" s="1385"/>
      <c r="G8" s="1385" t="s">
        <v>5</v>
      </c>
      <c r="H8" s="1385"/>
      <c r="I8" s="1385" t="s">
        <v>6</v>
      </c>
      <c r="J8" s="1385"/>
      <c r="K8" s="1385" t="s">
        <v>7</v>
      </c>
      <c r="L8" s="1385"/>
      <c r="M8" s="278" t="s">
        <v>8</v>
      </c>
    </row>
    <row r="9" spans="1:13">
      <c r="A9" s="1388"/>
      <c r="B9" s="1389"/>
      <c r="C9" s="3"/>
      <c r="D9" s="3"/>
      <c r="E9" s="3"/>
      <c r="F9" s="3"/>
      <c r="G9" s="3"/>
      <c r="H9" s="3"/>
      <c r="I9" s="3"/>
      <c r="J9" s="3"/>
      <c r="K9" s="3"/>
      <c r="L9" s="3"/>
      <c r="M9" s="30"/>
    </row>
    <row r="10" spans="1:13">
      <c r="A10" s="225" t="s">
        <v>32</v>
      </c>
      <c r="B10" s="194"/>
      <c r="C10" s="3"/>
      <c r="D10" s="3"/>
      <c r="E10" s="3"/>
      <c r="F10" s="3"/>
      <c r="G10" s="3"/>
      <c r="H10" s="3"/>
      <c r="I10" s="3"/>
      <c r="J10" s="3"/>
      <c r="K10" s="3"/>
      <c r="L10" s="3"/>
      <c r="M10" s="30"/>
    </row>
    <row r="11" spans="1:13">
      <c r="A11" s="1388"/>
      <c r="B11" s="1389"/>
      <c r="C11" s="3"/>
      <c r="D11" s="3"/>
      <c r="E11" s="3"/>
      <c r="F11" s="3"/>
      <c r="G11" s="3"/>
      <c r="H11" s="3"/>
      <c r="I11" s="3"/>
      <c r="J11" s="3"/>
      <c r="K11" s="3"/>
      <c r="L11" s="3"/>
      <c r="M11" s="30"/>
    </row>
    <row r="12" spans="1:13">
      <c r="A12" s="1390" t="s">
        <v>33</v>
      </c>
      <c r="B12" s="1391"/>
      <c r="C12" s="3"/>
      <c r="D12" s="3"/>
      <c r="E12" s="3"/>
      <c r="F12" s="3"/>
      <c r="G12" s="3"/>
      <c r="H12" s="3"/>
      <c r="I12" s="3"/>
      <c r="J12" s="3"/>
      <c r="K12" s="3"/>
      <c r="L12" s="3"/>
      <c r="M12" s="30"/>
    </row>
    <row r="13" spans="1:13">
      <c r="A13" s="1386"/>
      <c r="B13" s="1387"/>
      <c r="C13" s="3"/>
      <c r="D13" s="3"/>
      <c r="E13" s="3"/>
      <c r="F13" s="3"/>
      <c r="G13" s="3"/>
      <c r="H13" s="3"/>
      <c r="I13" s="3"/>
      <c r="J13" s="3"/>
      <c r="K13" s="3"/>
      <c r="L13" s="3"/>
      <c r="M13" s="30"/>
    </row>
    <row r="14" spans="1:13">
      <c r="A14" s="1390" t="s">
        <v>34</v>
      </c>
      <c r="B14" s="1391"/>
      <c r="C14" s="3"/>
      <c r="D14" s="3"/>
      <c r="E14" s="3"/>
      <c r="F14" s="3"/>
      <c r="G14" s="3"/>
      <c r="H14" s="3"/>
      <c r="I14" s="3"/>
      <c r="J14" s="3"/>
      <c r="K14" s="3"/>
      <c r="L14" s="3"/>
      <c r="M14" s="30"/>
    </row>
    <row r="15" spans="1:13">
      <c r="A15" s="1386" t="s">
        <v>35</v>
      </c>
      <c r="B15" s="1387"/>
      <c r="C15" s="189">
        <f>'03-APU-2014'!G114</f>
        <v>302073.86135050002</v>
      </c>
      <c r="D15" s="189">
        <f>C15</f>
        <v>302073.86135050002</v>
      </c>
      <c r="E15" s="189">
        <f>'03-APU-2014'!H114</f>
        <v>302073.86135050002</v>
      </c>
      <c r="F15" s="189">
        <f>E15</f>
        <v>302073.86135050002</v>
      </c>
      <c r="G15" s="189">
        <f>'03-APU-2014'!I114</f>
        <v>302073.86135050002</v>
      </c>
      <c r="H15" s="189">
        <f>G15</f>
        <v>302073.86135050002</v>
      </c>
      <c r="I15" s="189">
        <f>'03-APU-2014'!J114</f>
        <v>302073.86135050002</v>
      </c>
      <c r="J15" s="189">
        <f>I15</f>
        <v>302073.86135050002</v>
      </c>
      <c r="K15" s="189">
        <f>'03-APU-2014'!K114</f>
        <v>302073.86135050002</v>
      </c>
      <c r="L15" s="189">
        <f>K15</f>
        <v>302073.86135050002</v>
      </c>
      <c r="M15" s="214">
        <f>'03-APU-2014'!L114</f>
        <v>302073.86135050002</v>
      </c>
    </row>
    <row r="16" spans="1:13">
      <c r="A16" s="1386" t="s">
        <v>36</v>
      </c>
      <c r="B16" s="1387"/>
      <c r="C16" s="189">
        <f>'03-APU-2014'!G129</f>
        <v>265686.27339793002</v>
      </c>
      <c r="D16" s="189">
        <f>C16</f>
        <v>265686.27339793002</v>
      </c>
      <c r="E16" s="189">
        <f>'03-APU-2014'!H129</f>
        <v>265686.27339793002</v>
      </c>
      <c r="F16" s="189">
        <f>E16</f>
        <v>265686.27339793002</v>
      </c>
      <c r="G16" s="189">
        <f>'03-APU-2014'!I129</f>
        <v>265686.27339793002</v>
      </c>
      <c r="H16" s="189">
        <f>G16</f>
        <v>265686.27339793002</v>
      </c>
      <c r="I16" s="189">
        <f>'03-APU-2014'!J129</f>
        <v>265686.27339793002</v>
      </c>
      <c r="J16" s="189">
        <f>I16</f>
        <v>265686.27339793002</v>
      </c>
      <c r="K16" s="189">
        <f>'03-APU-2014'!K129</f>
        <v>265686.27339793002</v>
      </c>
      <c r="L16" s="189">
        <f>K16</f>
        <v>265686.27339793002</v>
      </c>
      <c r="M16" s="214">
        <f>'03-APU-2014'!L129</f>
        <v>265686.27339793002</v>
      </c>
    </row>
    <row r="17" spans="1:13">
      <c r="A17" s="1388"/>
      <c r="B17" s="1389"/>
      <c r="C17" s="3"/>
      <c r="D17" s="3"/>
      <c r="E17" s="3"/>
      <c r="F17" s="3"/>
      <c r="G17" s="3"/>
      <c r="H17" s="3"/>
      <c r="I17" s="3"/>
      <c r="J17" s="3"/>
      <c r="K17" s="3"/>
      <c r="L17" s="3"/>
      <c r="M17" s="30"/>
    </row>
    <row r="18" spans="1:13">
      <c r="A18" s="1390" t="s">
        <v>77</v>
      </c>
      <c r="B18" s="1391"/>
      <c r="C18" s="3"/>
      <c r="D18" s="3"/>
      <c r="E18" s="3"/>
      <c r="F18" s="3"/>
      <c r="G18" s="3"/>
      <c r="H18" s="3"/>
      <c r="I18" s="3"/>
      <c r="J18" s="3"/>
      <c r="K18" s="3"/>
      <c r="L18" s="3"/>
      <c r="M18" s="30"/>
    </row>
    <row r="19" spans="1:13">
      <c r="A19" s="1386" t="s">
        <v>38</v>
      </c>
      <c r="B19" s="1387"/>
      <c r="C19" s="189">
        <f>'03-APU-2014'!G144</f>
        <v>474603.17987826344</v>
      </c>
      <c r="D19" s="189">
        <f>C19</f>
        <v>474603.17987826344</v>
      </c>
      <c r="E19" s="189">
        <f>'03-APU-2014'!H144</f>
        <v>474603.17987826344</v>
      </c>
      <c r="F19" s="189">
        <f>E19</f>
        <v>474603.17987826344</v>
      </c>
      <c r="G19" s="189">
        <f>'03-APU-2014'!I144</f>
        <v>474603.17987826344</v>
      </c>
      <c r="H19" s="189">
        <f>G19</f>
        <v>474603.17987826344</v>
      </c>
      <c r="I19" s="189">
        <f>'03-APU-2014'!J144</f>
        <v>474603.17987826344</v>
      </c>
      <c r="J19" s="189">
        <f>I19</f>
        <v>474603.17987826344</v>
      </c>
      <c r="K19" s="189">
        <f>'03-APU-2014'!K144</f>
        <v>474603.17987826344</v>
      </c>
      <c r="L19" s="189">
        <f>K19</f>
        <v>474603.17987826344</v>
      </c>
      <c r="M19" s="214">
        <f>'03-APU-2014'!L144</f>
        <v>474603.17987826344</v>
      </c>
    </row>
    <row r="20" spans="1:13">
      <c r="A20" s="1386" t="s">
        <v>78</v>
      </c>
      <c r="B20" s="1387"/>
      <c r="C20" s="189">
        <f>'03-APU-2014'!G160</f>
        <v>740289.45327619347</v>
      </c>
      <c r="D20" s="189">
        <f>C20</f>
        <v>740289.45327619347</v>
      </c>
      <c r="E20" s="189">
        <f>'03-APU-2014'!H160</f>
        <v>740289.45327619347</v>
      </c>
      <c r="F20" s="189">
        <f>E20</f>
        <v>740289.45327619347</v>
      </c>
      <c r="G20" s="189">
        <f>'03-APU-2014'!I160</f>
        <v>740289.45327619347</v>
      </c>
      <c r="H20" s="189">
        <f>G20</f>
        <v>740289.45327619347</v>
      </c>
      <c r="I20" s="189">
        <f>'03-APU-2014'!J160</f>
        <v>740289.45327619347</v>
      </c>
      <c r="J20" s="189">
        <f>I20</f>
        <v>740289.45327619347</v>
      </c>
      <c r="K20" s="189">
        <f>'03-APU-2014'!K160</f>
        <v>740289.45327619347</v>
      </c>
      <c r="L20" s="189">
        <f>K20</f>
        <v>740289.45327619347</v>
      </c>
      <c r="M20" s="214">
        <f>'03-APU-2014'!L160</f>
        <v>740289.45327619347</v>
      </c>
    </row>
    <row r="21" spans="1:13">
      <c r="A21" s="1386" t="s">
        <v>40</v>
      </c>
      <c r="B21" s="1387"/>
      <c r="C21" s="189">
        <f>'03-APU-2014'!G176</f>
        <v>596995.36707874015</v>
      </c>
      <c r="D21" s="189">
        <f>C21</f>
        <v>596995.36707874015</v>
      </c>
      <c r="E21" s="189">
        <f>'03-APU-2014'!H176</f>
        <v>596995.36707874015</v>
      </c>
      <c r="F21" s="189">
        <f>E21</f>
        <v>596995.36707874015</v>
      </c>
      <c r="G21" s="189">
        <f>'03-APU-2014'!I176</f>
        <v>596995.36707874015</v>
      </c>
      <c r="H21" s="189">
        <f>G21</f>
        <v>596995.36707874015</v>
      </c>
      <c r="I21" s="189">
        <f>'03-APU-2014'!J176</f>
        <v>596995.36707874015</v>
      </c>
      <c r="J21" s="189">
        <f>I21</f>
        <v>596995.36707874015</v>
      </c>
      <c r="K21" s="189">
        <f>'03-APU-2014'!K176</f>
        <v>596995.36707874015</v>
      </c>
      <c r="L21" s="189">
        <f>K21</f>
        <v>596995.36707874015</v>
      </c>
      <c r="M21" s="214">
        <f>'03-APU-2014'!L176</f>
        <v>596995.36707874015</v>
      </c>
    </row>
    <row r="22" spans="1:13">
      <c r="A22" s="1386"/>
      <c r="B22" s="1387"/>
      <c r="C22" s="3"/>
      <c r="D22" s="3"/>
      <c r="E22" s="3"/>
      <c r="F22" s="3"/>
      <c r="G22" s="3"/>
      <c r="H22" s="3"/>
      <c r="I22" s="3"/>
      <c r="J22" s="3"/>
      <c r="K22" s="3"/>
      <c r="L22" s="3"/>
      <c r="M22" s="30"/>
    </row>
    <row r="23" spans="1:13">
      <c r="A23" s="1390" t="s">
        <v>441</v>
      </c>
      <c r="B23" s="1391"/>
      <c r="C23" s="189">
        <f>'02-HH-2014'!$G$51*9.5*4</f>
        <v>2081619.3878984498</v>
      </c>
      <c r="D23" s="189">
        <f>C23</f>
        <v>2081619.3878984498</v>
      </c>
      <c r="E23" s="189">
        <f>'02-HH-2014'!$G$51*9.5*4</f>
        <v>2081619.3878984498</v>
      </c>
      <c r="F23" s="189">
        <f>E23</f>
        <v>2081619.3878984498</v>
      </c>
      <c r="G23" s="189">
        <f>'03-APU-2014'!I347</f>
        <v>387280</v>
      </c>
      <c r="H23" s="189">
        <f>G23</f>
        <v>387280</v>
      </c>
      <c r="I23" s="189">
        <f>'03-APU-2014'!J347</f>
        <v>387280</v>
      </c>
      <c r="J23" s="189">
        <f>I23</f>
        <v>387280</v>
      </c>
      <c r="K23" s="189">
        <f>'03-APU-2014'!K347</f>
        <v>387280</v>
      </c>
      <c r="L23" s="189">
        <f>K23</f>
        <v>387280</v>
      </c>
      <c r="M23" s="214">
        <f>'03-APU-2014'!L347</f>
        <v>387280</v>
      </c>
    </row>
    <row r="24" spans="1:13">
      <c r="A24" s="1386"/>
      <c r="B24" s="1387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214"/>
    </row>
    <row r="25" spans="1:13">
      <c r="A25" s="1390" t="s">
        <v>42</v>
      </c>
      <c r="B25" s="1391"/>
      <c r="C25" s="189">
        <f>'03-APU-2014'!D66</f>
        <v>70000</v>
      </c>
      <c r="D25" s="189">
        <f>'03-APU-2014'!E66</f>
        <v>70000</v>
      </c>
      <c r="E25" s="189">
        <f>'03-APU-2014'!F66</f>
        <v>70000</v>
      </c>
      <c r="F25" s="189">
        <f>'03-APU-2014'!G66</f>
        <v>70000</v>
      </c>
      <c r="G25" s="189">
        <f>'03-APU-2014'!H66</f>
        <v>70000</v>
      </c>
      <c r="H25" s="189">
        <f>'03-APU-2014'!I66</f>
        <v>70000</v>
      </c>
      <c r="I25" s="189">
        <f>'03-APU-2014'!J66</f>
        <v>70000</v>
      </c>
      <c r="J25" s="189">
        <f>'03-APU-2014'!K66</f>
        <v>70000</v>
      </c>
      <c r="K25" s="189">
        <f>'03-APU-2014'!L66</f>
        <v>70000</v>
      </c>
      <c r="L25" s="189">
        <f>'03-APU-2014'!M66</f>
        <v>70000</v>
      </c>
      <c r="M25" s="189">
        <f>'03-APU-2014'!N66</f>
        <v>70000</v>
      </c>
    </row>
    <row r="26" spans="1:13">
      <c r="A26" s="1386"/>
      <c r="B26" s="1387"/>
      <c r="C26" s="3"/>
      <c r="D26" s="3"/>
      <c r="E26" s="3"/>
      <c r="F26" s="3"/>
      <c r="G26" s="3"/>
      <c r="H26" s="3"/>
      <c r="I26" s="3"/>
      <c r="J26" s="3"/>
      <c r="K26" s="3"/>
      <c r="L26" s="3"/>
      <c r="M26" s="30"/>
    </row>
    <row r="27" spans="1:13">
      <c r="A27" s="1413" t="s">
        <v>12</v>
      </c>
      <c r="B27" s="1414"/>
      <c r="C27" s="190">
        <f t="shared" ref="C27:M27" si="0">SUM(C9:C26)</f>
        <v>4531267.5228800774</v>
      </c>
      <c r="D27" s="190">
        <f t="shared" si="0"/>
        <v>4531267.5228800774</v>
      </c>
      <c r="E27" s="190">
        <f t="shared" si="0"/>
        <v>4531267.5228800774</v>
      </c>
      <c r="F27" s="190">
        <f t="shared" si="0"/>
        <v>4531267.5228800774</v>
      </c>
      <c r="G27" s="190">
        <f t="shared" si="0"/>
        <v>2836928.1349816271</v>
      </c>
      <c r="H27" s="190">
        <f t="shared" si="0"/>
        <v>2836928.1349816271</v>
      </c>
      <c r="I27" s="190">
        <f t="shared" si="0"/>
        <v>2836928.1349816271</v>
      </c>
      <c r="J27" s="190">
        <f t="shared" si="0"/>
        <v>2836928.1349816271</v>
      </c>
      <c r="K27" s="190">
        <f t="shared" si="0"/>
        <v>2836928.1349816271</v>
      </c>
      <c r="L27" s="190">
        <f t="shared" si="0"/>
        <v>2836928.1349816271</v>
      </c>
      <c r="M27" s="279">
        <f t="shared" si="0"/>
        <v>2836928.1349816271</v>
      </c>
    </row>
    <row r="28" spans="1:13">
      <c r="A28" s="1388"/>
      <c r="B28" s="1389"/>
      <c r="C28" s="3"/>
      <c r="D28" s="3"/>
      <c r="E28" s="3"/>
      <c r="F28" s="3"/>
      <c r="G28" s="3"/>
      <c r="H28" s="3"/>
      <c r="I28" s="3"/>
      <c r="J28" s="3"/>
      <c r="K28" s="3"/>
      <c r="L28" s="3"/>
      <c r="M28" s="30"/>
    </row>
    <row r="29" spans="1:13">
      <c r="A29" s="1390" t="s">
        <v>47</v>
      </c>
      <c r="B29" s="1391"/>
      <c r="C29" s="3"/>
      <c r="D29" s="3"/>
      <c r="E29" s="3"/>
      <c r="F29" s="3"/>
      <c r="G29" s="3"/>
      <c r="H29" s="3"/>
      <c r="I29" s="3"/>
      <c r="J29" s="3"/>
      <c r="K29" s="3"/>
      <c r="L29" s="3"/>
      <c r="M29" s="30"/>
    </row>
    <row r="30" spans="1:13">
      <c r="A30" s="1386" t="s">
        <v>79</v>
      </c>
      <c r="B30" s="1387"/>
      <c r="C30" s="189">
        <v>62500</v>
      </c>
      <c r="D30" s="189">
        <v>62500</v>
      </c>
      <c r="E30" s="189">
        <v>62500</v>
      </c>
      <c r="F30" s="189">
        <v>62500</v>
      </c>
      <c r="G30" s="189">
        <v>62500</v>
      </c>
      <c r="H30" s="189">
        <v>62500</v>
      </c>
      <c r="I30" s="189">
        <v>62500</v>
      </c>
      <c r="J30" s="189">
        <v>62500</v>
      </c>
      <c r="K30" s="189">
        <v>62500</v>
      </c>
      <c r="L30" s="189">
        <v>62500</v>
      </c>
      <c r="M30" s="189">
        <v>62500</v>
      </c>
    </row>
    <row r="31" spans="1:13">
      <c r="A31" s="1386" t="s">
        <v>80</v>
      </c>
      <c r="B31" s="1387"/>
      <c r="C31" s="189">
        <f>'03-APU-2014'!G218</f>
        <v>112096.10866666665</v>
      </c>
      <c r="D31" s="189">
        <f>C31</f>
        <v>112096.10866666665</v>
      </c>
      <c r="E31" s="189">
        <f>'03-APU-2014'!H218</f>
        <v>112096.10866666665</v>
      </c>
      <c r="F31" s="189">
        <f>E31</f>
        <v>112096.10866666665</v>
      </c>
      <c r="G31" s="189">
        <f>'03-APU-2014'!I218</f>
        <v>112096.10866666665</v>
      </c>
      <c r="H31" s="189">
        <f>G31</f>
        <v>112096.10866666665</v>
      </c>
      <c r="I31" s="189">
        <f>'03-APU-2014'!J218</f>
        <v>112096.10866666665</v>
      </c>
      <c r="J31" s="189">
        <f>I31</f>
        <v>112096.10866666665</v>
      </c>
      <c r="K31" s="189">
        <f>'03-APU-2014'!K218</f>
        <v>112096.10866666665</v>
      </c>
      <c r="L31" s="189">
        <f>K31</f>
        <v>112096.10866666665</v>
      </c>
      <c r="M31" s="214">
        <f>'03-APU-2014'!L218</f>
        <v>112096.10866666665</v>
      </c>
    </row>
    <row r="32" spans="1:13">
      <c r="A32" s="1386" t="s">
        <v>81</v>
      </c>
      <c r="B32" s="1387"/>
      <c r="C32" s="189">
        <f>'03-APU-2014'!G219</f>
        <v>643274</v>
      </c>
      <c r="D32" s="189">
        <f t="shared" ref="D32:D39" si="1">C32</f>
        <v>643274</v>
      </c>
      <c r="E32" s="189">
        <f>'03-APU-2014'!H219</f>
        <v>643274</v>
      </c>
      <c r="F32" s="189">
        <f t="shared" ref="F32:F39" si="2">E32</f>
        <v>643274</v>
      </c>
      <c r="G32" s="189">
        <f>'03-APU-2014'!I219</f>
        <v>964911</v>
      </c>
      <c r="H32" s="189">
        <f t="shared" ref="H32:H38" si="3">G32</f>
        <v>964911</v>
      </c>
      <c r="I32" s="189">
        <f>'03-APU-2014'!J219</f>
        <v>1286548</v>
      </c>
      <c r="J32" s="189">
        <f t="shared" ref="J32:J39" si="4">I32</f>
        <v>1286548</v>
      </c>
      <c r="K32" s="189">
        <f>'03-APU-2014'!K219</f>
        <v>1286548</v>
      </c>
      <c r="L32" s="189">
        <f t="shared" ref="L32:L39" si="5">K32</f>
        <v>1286548</v>
      </c>
      <c r="M32" s="214">
        <f>'03-APU-2014'!L219</f>
        <v>1286548</v>
      </c>
    </row>
    <row r="33" spans="1:13">
      <c r="A33" s="1386" t="s">
        <v>50</v>
      </c>
      <c r="B33" s="1387"/>
      <c r="C33" s="189">
        <f>'03-APU-2014'!G220</f>
        <v>408576.75876240002</v>
      </c>
      <c r="D33" s="189">
        <f t="shared" si="1"/>
        <v>408576.75876240002</v>
      </c>
      <c r="E33" s="189">
        <f>'03-APU-2014'!H220</f>
        <v>672573.48968221399</v>
      </c>
      <c r="F33" s="189">
        <f t="shared" si="2"/>
        <v>672573.48968221399</v>
      </c>
      <c r="G33" s="189">
        <f>'03-APU-2014'!I220</f>
        <v>1613652.7453578059</v>
      </c>
      <c r="H33" s="189">
        <f t="shared" si="3"/>
        <v>1613652.7453578059</v>
      </c>
      <c r="I33" s="189">
        <f>'03-APU-2014'!J220</f>
        <v>2680984.9830931202</v>
      </c>
      <c r="J33" s="189">
        <f t="shared" si="4"/>
        <v>2680984.9830931202</v>
      </c>
      <c r="K33" s="189">
        <f>'03-APU-2014'!K220</f>
        <v>2813386.9830931202</v>
      </c>
      <c r="L33" s="189">
        <f t="shared" si="5"/>
        <v>2813386.9830931202</v>
      </c>
      <c r="M33" s="214">
        <f>'03-APU-2014'!L220</f>
        <v>2945788.9830931202</v>
      </c>
    </row>
    <row r="34" spans="1:13">
      <c r="A34" s="1386" t="s">
        <v>82</v>
      </c>
      <c r="B34" s="1387"/>
      <c r="C34" s="189">
        <f>'03-APU-2014'!G221</f>
        <v>322273.05143896001</v>
      </c>
      <c r="D34" s="189">
        <f t="shared" si="1"/>
        <v>322273.05143896001</v>
      </c>
      <c r="E34" s="189">
        <f>'03-APU-2014'!H221</f>
        <v>322273.05143896001</v>
      </c>
      <c r="F34" s="189">
        <f t="shared" si="2"/>
        <v>322273.05143896001</v>
      </c>
      <c r="G34" s="189">
        <f>'03-APU-2014'!I221</f>
        <v>483409.57715844002</v>
      </c>
      <c r="H34" s="189">
        <f t="shared" si="3"/>
        <v>483409.57715844002</v>
      </c>
      <c r="I34" s="189">
        <f>'03-APU-2014'!J221</f>
        <v>644546.10287792003</v>
      </c>
      <c r="J34" s="189">
        <f t="shared" si="4"/>
        <v>644546.10287792003</v>
      </c>
      <c r="K34" s="189">
        <f>'03-APU-2014'!K221</f>
        <v>644546.10287792003</v>
      </c>
      <c r="L34" s="189">
        <f t="shared" si="5"/>
        <v>644546.10287792003</v>
      </c>
      <c r="M34" s="214">
        <f>'03-APU-2014'!L221</f>
        <v>644546.10287792003</v>
      </c>
    </row>
    <row r="35" spans="1:13">
      <c r="A35" s="1386" t="s">
        <v>52</v>
      </c>
      <c r="B35" s="1387"/>
      <c r="C35" s="189">
        <f>'03-APU-2014'!G222</f>
        <v>597786.66666666663</v>
      </c>
      <c r="D35" s="189">
        <f t="shared" si="1"/>
        <v>597786.66666666663</v>
      </c>
      <c r="E35" s="189">
        <f>'03-APU-2014'!H222</f>
        <v>597786.66666666663</v>
      </c>
      <c r="F35" s="189">
        <f t="shared" si="2"/>
        <v>597786.66666666663</v>
      </c>
      <c r="G35" s="189">
        <f>'03-APU-2014'!I222</f>
        <v>387826.66666666669</v>
      </c>
      <c r="H35" s="189">
        <f t="shared" si="3"/>
        <v>387826.66666666669</v>
      </c>
      <c r="I35" s="189">
        <f>'03-APU-2014'!J222</f>
        <v>407160</v>
      </c>
      <c r="J35" s="189">
        <f t="shared" si="4"/>
        <v>407160</v>
      </c>
      <c r="K35" s="189">
        <f>'03-APU-2014'!K222</f>
        <v>465160</v>
      </c>
      <c r="L35" s="189">
        <f t="shared" si="5"/>
        <v>465160</v>
      </c>
      <c r="M35" s="214">
        <f>'03-APU-2014'!L222</f>
        <v>523160</v>
      </c>
    </row>
    <row r="36" spans="1:13">
      <c r="A36" s="1386" t="s">
        <v>53</v>
      </c>
      <c r="B36" s="1387"/>
      <c r="C36" s="189">
        <f>'03-APU-2014'!G223</f>
        <v>76000</v>
      </c>
      <c r="D36" s="189">
        <f t="shared" si="1"/>
        <v>76000</v>
      </c>
      <c r="E36" s="189">
        <f>'03-APU-2014'!H223</f>
        <v>76000</v>
      </c>
      <c r="F36" s="189">
        <f t="shared" si="2"/>
        <v>76000</v>
      </c>
      <c r="G36" s="189">
        <f>'03-APU-2014'!I223</f>
        <v>114000</v>
      </c>
      <c r="H36" s="189">
        <f t="shared" si="3"/>
        <v>114000</v>
      </c>
      <c r="I36" s="189">
        <f>'03-APU-2014'!J223</f>
        <v>152000</v>
      </c>
      <c r="J36" s="189">
        <f t="shared" si="4"/>
        <v>152000</v>
      </c>
      <c r="K36" s="189">
        <f>'03-APU-2014'!K223</f>
        <v>152000</v>
      </c>
      <c r="L36" s="189">
        <f t="shared" si="5"/>
        <v>152000</v>
      </c>
      <c r="M36" s="214">
        <f>'03-APU-2014'!L223</f>
        <v>152000</v>
      </c>
    </row>
    <row r="37" spans="1:13">
      <c r="A37" s="1386" t="s">
        <v>54</v>
      </c>
      <c r="B37" s="1387"/>
      <c r="C37" s="189">
        <f>'03-APU-2014'!G224</f>
        <v>257333.33333333334</v>
      </c>
      <c r="D37" s="189">
        <f t="shared" si="1"/>
        <v>257333.33333333334</v>
      </c>
      <c r="E37" s="189">
        <f>'03-APU-2014'!H224</f>
        <v>273333.33333333331</v>
      </c>
      <c r="F37" s="189">
        <f t="shared" si="2"/>
        <v>273333.33333333331</v>
      </c>
      <c r="G37" s="189">
        <f>'03-APU-2014'!I224</f>
        <v>136666.66666666666</v>
      </c>
      <c r="H37" s="189">
        <f t="shared" si="3"/>
        <v>136666.66666666666</v>
      </c>
      <c r="I37" s="189">
        <f>'03-APU-2014'!J224</f>
        <v>136666.66666666666</v>
      </c>
      <c r="J37" s="189">
        <f t="shared" si="4"/>
        <v>136666.66666666666</v>
      </c>
      <c r="K37" s="189">
        <f>'03-APU-2014'!K224</f>
        <v>136666.66666666666</v>
      </c>
      <c r="L37" s="189">
        <f t="shared" si="5"/>
        <v>136666.66666666666</v>
      </c>
      <c r="M37" s="214">
        <f>'03-APU-2014'!L224</f>
        <v>136666.66666666666</v>
      </c>
    </row>
    <row r="38" spans="1:13">
      <c r="A38" s="1386" t="s">
        <v>83</v>
      </c>
      <c r="B38" s="1387"/>
      <c r="C38" s="189">
        <f>'03-APU-2014'!G225</f>
        <v>206118.19571865443</v>
      </c>
      <c r="D38" s="189">
        <f t="shared" si="1"/>
        <v>206118.19571865443</v>
      </c>
      <c r="E38" s="189">
        <f>'03-APU-2014'!H225</f>
        <v>206118.19571865443</v>
      </c>
      <c r="F38" s="189">
        <f t="shared" si="2"/>
        <v>206118.19571865443</v>
      </c>
      <c r="G38" s="189">
        <f>'03-APU-2014'!I225</f>
        <v>206118.19571865443</v>
      </c>
      <c r="H38" s="189">
        <f t="shared" si="3"/>
        <v>206118.19571865443</v>
      </c>
      <c r="I38" s="189">
        <f>'03-APU-2014'!J225</f>
        <v>206118.19571865443</v>
      </c>
      <c r="J38" s="189">
        <f t="shared" si="4"/>
        <v>206118.19571865443</v>
      </c>
      <c r="K38" s="189">
        <f>'03-APU-2014'!K225</f>
        <v>206118.19571865443</v>
      </c>
      <c r="L38" s="189">
        <f t="shared" si="5"/>
        <v>206118.19571865443</v>
      </c>
      <c r="M38" s="214">
        <f>'03-APU-2014'!L225</f>
        <v>206118.19571865443</v>
      </c>
    </row>
    <row r="39" spans="1:13" ht="29.25" customHeight="1">
      <c r="A39" s="1415" t="s">
        <v>84</v>
      </c>
      <c r="B39" s="1416"/>
      <c r="C39" s="189">
        <f>'03-APU-2014'!G226</f>
        <v>322273.05143896001</v>
      </c>
      <c r="D39" s="189">
        <f t="shared" si="1"/>
        <v>322273.05143896001</v>
      </c>
      <c r="E39" s="189">
        <f>'03-APU-2014'!H226</f>
        <v>322273.05143896001</v>
      </c>
      <c r="F39" s="189">
        <f t="shared" si="2"/>
        <v>322273.05143896001</v>
      </c>
      <c r="G39" s="189">
        <f>'03-APU-2014'!I226</f>
        <v>483409.57715844002</v>
      </c>
      <c r="H39" s="189">
        <f>G39</f>
        <v>483409.57715844002</v>
      </c>
      <c r="I39" s="189">
        <f>'03-APU-2014'!J226</f>
        <v>644546.10287792003</v>
      </c>
      <c r="J39" s="189">
        <f t="shared" si="4"/>
        <v>644546.10287792003</v>
      </c>
      <c r="K39" s="189">
        <f>'03-APU-2014'!K226</f>
        <v>644546.10287792003</v>
      </c>
      <c r="L39" s="189">
        <f t="shared" si="5"/>
        <v>644546.10287792003</v>
      </c>
      <c r="M39" s="214">
        <f>'03-APU-2014'!L226</f>
        <v>644546.10287792003</v>
      </c>
    </row>
    <row r="40" spans="1:13">
      <c r="A40" s="1386"/>
      <c r="B40" s="1387"/>
      <c r="C40" s="3"/>
      <c r="D40" s="3"/>
      <c r="E40" s="3"/>
      <c r="F40" s="3"/>
      <c r="G40" s="3"/>
      <c r="H40" s="3"/>
      <c r="I40" s="3"/>
      <c r="J40" s="3"/>
      <c r="K40" s="3"/>
      <c r="L40" s="3"/>
      <c r="M40" s="30"/>
    </row>
    <row r="41" spans="1:13">
      <c r="A41" s="1413" t="s">
        <v>46</v>
      </c>
      <c r="B41" s="1414"/>
      <c r="C41" s="190">
        <f>SUM(C29,C30,C31,C32,C33,C34,C35,C36,C37,C38,C39)</f>
        <v>3008231.1660256414</v>
      </c>
      <c r="D41" s="190">
        <f>SUM(D29,D30,D31,D32,D33,D34,D35,D36,D37,D38,D39)</f>
        <v>3008231.1660256414</v>
      </c>
      <c r="E41" s="190">
        <f>SUM(E29,E30,E31,E32,E33,E34,E35,E36,E37,E38,E39)</f>
        <v>3288227.8969454551</v>
      </c>
      <c r="F41" s="190">
        <f>SUM(F29,F30,F31,F32,F33,F34,F35,F36,F37,F38,F39)</f>
        <v>3288227.8969454551</v>
      </c>
      <c r="G41" s="190">
        <f>SUM(G29,G30,G31,G32,G33,G34,G35,G36,G37,G38,G39)</f>
        <v>4564590.5373933399</v>
      </c>
      <c r="H41" s="190">
        <f t="shared" ref="H41:M41" si="6">SUM(H29,H30,H31,H32,H33,H34,H35,H36,H37,H38,H39)</f>
        <v>4564590.5373933399</v>
      </c>
      <c r="I41" s="190">
        <f t="shared" si="6"/>
        <v>6333166.1599009484</v>
      </c>
      <c r="J41" s="190">
        <f t="shared" si="6"/>
        <v>6333166.1599009484</v>
      </c>
      <c r="K41" s="190">
        <f t="shared" si="6"/>
        <v>6523568.1599009484</v>
      </c>
      <c r="L41" s="190">
        <f t="shared" si="6"/>
        <v>6523568.1599009484</v>
      </c>
      <c r="M41" s="279">
        <f t="shared" si="6"/>
        <v>6713970.1599009484</v>
      </c>
    </row>
    <row r="42" spans="1:13">
      <c r="A42" s="1388"/>
      <c r="B42" s="1389"/>
      <c r="C42" s="3"/>
      <c r="D42" s="3"/>
      <c r="E42" s="3"/>
      <c r="F42" s="3"/>
      <c r="G42" s="3"/>
      <c r="H42" s="3"/>
      <c r="I42" s="3"/>
      <c r="J42" s="3"/>
      <c r="K42" s="3"/>
      <c r="L42" s="3"/>
      <c r="M42" s="30"/>
    </row>
    <row r="43" spans="1:13">
      <c r="A43" s="1390" t="s">
        <v>57</v>
      </c>
      <c r="B43" s="1391"/>
      <c r="C43" s="3"/>
      <c r="D43" s="3"/>
      <c r="E43" s="3"/>
      <c r="F43" s="3"/>
      <c r="G43" s="3"/>
      <c r="H43" s="3"/>
      <c r="I43" s="3"/>
      <c r="J43" s="3"/>
      <c r="K43" s="3"/>
      <c r="L43" s="3"/>
      <c r="M43" s="30"/>
    </row>
    <row r="44" spans="1:13">
      <c r="A44" s="1386" t="s">
        <v>85</v>
      </c>
      <c r="B44" s="1387"/>
      <c r="C44" s="189">
        <f>'03-APU-2014'!G13*1.15</f>
        <v>1502302.8176903317</v>
      </c>
      <c r="D44" s="189">
        <f>C44*1.04</f>
        <v>1562394.930397945</v>
      </c>
      <c r="E44" s="189">
        <f>'03-APU-2014'!H13*1.2</f>
        <v>1567620.3315029549</v>
      </c>
      <c r="F44" s="189">
        <f>E44*1.02</f>
        <v>1598972.7381330142</v>
      </c>
      <c r="G44" s="189">
        <f>'03-APU-2014'!I13</f>
        <v>1959525.414378694</v>
      </c>
      <c r="H44" s="189">
        <f>G44*1.01</f>
        <v>1979120.6685224809</v>
      </c>
      <c r="I44" s="189">
        <f>'03-APU-2014'!J13</f>
        <v>2536271.3875049255</v>
      </c>
      <c r="J44" s="189">
        <f>I44</f>
        <v>2536271.3875049255</v>
      </c>
      <c r="K44" s="189">
        <f>'03-APU-2014'!K13</f>
        <v>2536271.3875049255</v>
      </c>
      <c r="L44" s="189">
        <f>K44</f>
        <v>2536271.3875049255</v>
      </c>
      <c r="M44" s="214">
        <f>'03-APU-2014'!L13</f>
        <v>2536271.3875049255</v>
      </c>
    </row>
    <row r="45" spans="1:13">
      <c r="A45" s="1388"/>
      <c r="B45" s="1389"/>
      <c r="C45" s="3"/>
      <c r="D45" s="3"/>
      <c r="E45" s="3"/>
      <c r="F45" s="3"/>
      <c r="G45" s="3"/>
      <c r="H45" s="3"/>
      <c r="I45" s="3"/>
      <c r="J45" s="3"/>
      <c r="K45" s="3"/>
      <c r="L45" s="3"/>
      <c r="M45" s="30"/>
    </row>
    <row r="46" spans="1:13">
      <c r="A46" s="1413" t="s">
        <v>12</v>
      </c>
      <c r="B46" s="1414"/>
      <c r="C46" s="190">
        <f>C44</f>
        <v>1502302.8176903317</v>
      </c>
      <c r="D46" s="190">
        <f t="shared" ref="D46:M46" si="7">D44</f>
        <v>1562394.930397945</v>
      </c>
      <c r="E46" s="190">
        <f t="shared" si="7"/>
        <v>1567620.3315029549</v>
      </c>
      <c r="F46" s="190">
        <f t="shared" si="7"/>
        <v>1598972.7381330142</v>
      </c>
      <c r="G46" s="190">
        <f t="shared" si="7"/>
        <v>1959525.414378694</v>
      </c>
      <c r="H46" s="190">
        <f t="shared" si="7"/>
        <v>1979120.6685224809</v>
      </c>
      <c r="I46" s="190">
        <f t="shared" si="7"/>
        <v>2536271.3875049255</v>
      </c>
      <c r="J46" s="190">
        <f t="shared" si="7"/>
        <v>2536271.3875049255</v>
      </c>
      <c r="K46" s="190">
        <f t="shared" si="7"/>
        <v>2536271.3875049255</v>
      </c>
      <c r="L46" s="190">
        <f t="shared" si="7"/>
        <v>2536271.3875049255</v>
      </c>
      <c r="M46" s="279">
        <f t="shared" si="7"/>
        <v>2536271.3875049255</v>
      </c>
    </row>
    <row r="47" spans="1:13">
      <c r="A47" s="1388"/>
      <c r="B47" s="1389"/>
      <c r="C47" s="3"/>
      <c r="D47" s="3"/>
      <c r="E47" s="3"/>
      <c r="F47" s="3"/>
      <c r="G47" s="3"/>
      <c r="H47" s="3"/>
      <c r="I47" s="3"/>
      <c r="J47" s="3"/>
      <c r="K47" s="3"/>
      <c r="L47" s="3"/>
      <c r="M47" s="30"/>
    </row>
    <row r="48" spans="1:13">
      <c r="A48" s="1390" t="s">
        <v>60</v>
      </c>
      <c r="B48" s="1391"/>
      <c r="C48" s="3"/>
      <c r="D48" s="3"/>
      <c r="E48" s="3"/>
      <c r="F48" s="3"/>
      <c r="G48" s="3"/>
      <c r="H48" s="3"/>
      <c r="I48" s="3"/>
      <c r="J48" s="3"/>
      <c r="K48" s="3"/>
      <c r="L48" s="3"/>
      <c r="M48" s="30"/>
    </row>
    <row r="49" spans="1:13">
      <c r="A49" s="1386" t="s">
        <v>61</v>
      </c>
      <c r="B49" s="1387"/>
      <c r="C49" s="189">
        <f>'03-APU-2014'!F210</f>
        <v>71373.855848859457</v>
      </c>
      <c r="D49" s="189">
        <f>'03-APU-2014'!G210</f>
        <v>79304.433856434829</v>
      </c>
      <c r="E49" s="189">
        <f>'03-APU-2014'!H210</f>
        <v>198261.75775074653</v>
      </c>
      <c r="F49" s="189">
        <f>E49</f>
        <v>198261.75775074653</v>
      </c>
      <c r="G49" s="189">
        <f>'03-APU-2014'!I210</f>
        <v>198261.75775074653</v>
      </c>
      <c r="H49" s="189">
        <f>G49</f>
        <v>198261.75775074653</v>
      </c>
      <c r="I49" s="189">
        <f>'03-APU-2014'!J210</f>
        <v>198261.75775074653</v>
      </c>
      <c r="J49" s="189">
        <f>I49</f>
        <v>198261.75775074653</v>
      </c>
      <c r="K49" s="189">
        <f>'03-APU-2014'!K210</f>
        <v>198261.75775074653</v>
      </c>
      <c r="L49" s="189">
        <f>K49</f>
        <v>198261.75775074653</v>
      </c>
      <c r="M49" s="214">
        <f>'03-APU-2014'!L210</f>
        <v>198261.75775074653</v>
      </c>
    </row>
    <row r="50" spans="1:13">
      <c r="A50" s="1388"/>
      <c r="B50" s="1389"/>
      <c r="C50" s="3"/>
      <c r="D50" s="3"/>
      <c r="E50" s="3"/>
      <c r="F50" s="3"/>
      <c r="G50" s="3"/>
      <c r="H50" s="3"/>
      <c r="I50" s="3"/>
      <c r="J50" s="3"/>
      <c r="K50" s="3"/>
      <c r="L50" s="3"/>
      <c r="M50" s="30"/>
    </row>
    <row r="51" spans="1:13">
      <c r="A51" s="1413" t="s">
        <v>46</v>
      </c>
      <c r="B51" s="1414"/>
      <c r="C51" s="190">
        <f t="shared" ref="C51:M51" si="8">C49</f>
        <v>71373.855848859457</v>
      </c>
      <c r="D51" s="190">
        <f t="shared" si="8"/>
        <v>79304.433856434829</v>
      </c>
      <c r="E51" s="190">
        <f t="shared" si="8"/>
        <v>198261.75775074653</v>
      </c>
      <c r="F51" s="190">
        <f t="shared" si="8"/>
        <v>198261.75775074653</v>
      </c>
      <c r="G51" s="190">
        <f t="shared" si="8"/>
        <v>198261.75775074653</v>
      </c>
      <c r="H51" s="190">
        <f t="shared" si="8"/>
        <v>198261.75775074653</v>
      </c>
      <c r="I51" s="190">
        <f t="shared" si="8"/>
        <v>198261.75775074653</v>
      </c>
      <c r="J51" s="190">
        <f t="shared" si="8"/>
        <v>198261.75775074653</v>
      </c>
      <c r="K51" s="190">
        <f t="shared" si="8"/>
        <v>198261.75775074653</v>
      </c>
      <c r="L51" s="190">
        <f t="shared" si="8"/>
        <v>198261.75775074653</v>
      </c>
      <c r="M51" s="279">
        <f t="shared" si="8"/>
        <v>198261.75775074653</v>
      </c>
    </row>
    <row r="52" spans="1:13">
      <c r="A52" s="1386"/>
      <c r="B52" s="1387"/>
      <c r="C52" s="3"/>
      <c r="D52" s="3"/>
      <c r="E52" s="3"/>
      <c r="F52" s="3"/>
      <c r="G52" s="3"/>
      <c r="H52" s="3"/>
      <c r="I52" s="3"/>
      <c r="J52" s="3"/>
      <c r="K52" s="3"/>
      <c r="L52" s="3"/>
      <c r="M52" s="30"/>
    </row>
    <row r="53" spans="1:13">
      <c r="A53" s="1390" t="s">
        <v>62</v>
      </c>
      <c r="B53" s="1391"/>
      <c r="C53" s="3"/>
      <c r="D53" s="3"/>
      <c r="E53" s="3"/>
      <c r="F53" s="3"/>
      <c r="G53" s="3"/>
      <c r="H53" s="3"/>
      <c r="I53" s="3"/>
      <c r="J53" s="3"/>
      <c r="K53" s="3"/>
      <c r="L53" s="3"/>
      <c r="M53" s="30"/>
    </row>
    <row r="54" spans="1:13">
      <c r="A54" s="1386" t="s">
        <v>70</v>
      </c>
      <c r="B54" s="1387"/>
      <c r="C54" s="189">
        <f>'03-APU-2014'!G195*B99</f>
        <v>9147301.8000000007</v>
      </c>
      <c r="D54" s="189">
        <f>C54</f>
        <v>9147301.8000000007</v>
      </c>
      <c r="E54" s="189">
        <f>'03-APU-2014'!H195*B98</f>
        <v>10319100</v>
      </c>
      <c r="F54" s="189">
        <f>E54</f>
        <v>10319100</v>
      </c>
      <c r="G54" s="189">
        <f>'03-APU-2014'!I195</f>
        <v>13590000</v>
      </c>
      <c r="H54" s="189">
        <f>G54</f>
        <v>13590000</v>
      </c>
      <c r="I54" s="189">
        <f>'03-APU-2014'!J195</f>
        <v>17386000</v>
      </c>
      <c r="J54" s="189">
        <f>I54</f>
        <v>17386000</v>
      </c>
      <c r="K54" s="189">
        <f>'03-APU-2014'!K195</f>
        <v>21759860</v>
      </c>
      <c r="L54" s="189">
        <f>K54</f>
        <v>21759860</v>
      </c>
      <c r="M54" s="214">
        <f>'03-APU-2014'!L195</f>
        <v>26040000</v>
      </c>
    </row>
    <row r="55" spans="1:13">
      <c r="A55" s="1386" t="s">
        <v>71</v>
      </c>
      <c r="B55" s="1387"/>
      <c r="C55" s="189">
        <f>'03-APU-2014'!G356</f>
        <v>2755051.2982996223</v>
      </c>
      <c r="D55" s="189">
        <f>C55</f>
        <v>2755051.2982996223</v>
      </c>
      <c r="E55" s="189">
        <f>'03-APU-2014'!G356</f>
        <v>2755051.2982996223</v>
      </c>
      <c r="F55" s="189">
        <f>E55</f>
        <v>2755051.2982996223</v>
      </c>
      <c r="G55" s="189">
        <f>'03-APU-2014'!I356</f>
        <v>3243529.6705971505</v>
      </c>
      <c r="H55" s="189">
        <f>G55</f>
        <v>3243529.6705971505</v>
      </c>
      <c r="I55" s="189">
        <f>'03-APU-2014'!J356</f>
        <v>3342085.0407136986</v>
      </c>
      <c r="J55" s="189">
        <f>I55</f>
        <v>3342085.0407136986</v>
      </c>
      <c r="K55" s="189">
        <f>'03-APU-2014'!K356</f>
        <v>3400274.0245533586</v>
      </c>
      <c r="L55" s="189">
        <f>K55</f>
        <v>3400274.0245533586</v>
      </c>
      <c r="M55" s="214">
        <f>'03-APU-2014'!L359</f>
        <v>6883480.5440275585</v>
      </c>
    </row>
    <row r="56" spans="1:13">
      <c r="A56" s="1386"/>
      <c r="B56" s="1387"/>
      <c r="C56" s="3"/>
      <c r="D56" s="3"/>
      <c r="E56" s="3"/>
      <c r="F56" s="3"/>
      <c r="G56" s="3"/>
      <c r="H56" s="3"/>
      <c r="I56" s="3"/>
      <c r="J56" s="3"/>
      <c r="K56" s="3"/>
      <c r="L56" s="3"/>
      <c r="M56" s="30"/>
    </row>
    <row r="57" spans="1:13">
      <c r="A57" s="1413" t="s">
        <v>12</v>
      </c>
      <c r="B57" s="1414"/>
      <c r="C57" s="190">
        <f>SUM(C54,C55)</f>
        <v>11902353.098299623</v>
      </c>
      <c r="D57" s="190">
        <f t="shared" ref="D57:M57" si="9">SUM(D54,D55)</f>
        <v>11902353.098299623</v>
      </c>
      <c r="E57" s="190">
        <f t="shared" si="9"/>
        <v>13074151.298299622</v>
      </c>
      <c r="F57" s="190">
        <f t="shared" si="9"/>
        <v>13074151.298299622</v>
      </c>
      <c r="G57" s="190">
        <f t="shared" si="9"/>
        <v>16833529.670597151</v>
      </c>
      <c r="H57" s="190">
        <f t="shared" si="9"/>
        <v>16833529.670597151</v>
      </c>
      <c r="I57" s="190">
        <f t="shared" si="9"/>
        <v>20728085.040713698</v>
      </c>
      <c r="J57" s="190">
        <f t="shared" si="9"/>
        <v>20728085.040713698</v>
      </c>
      <c r="K57" s="190">
        <f t="shared" si="9"/>
        <v>25160134.024553359</v>
      </c>
      <c r="L57" s="190">
        <f t="shared" si="9"/>
        <v>25160134.024553359</v>
      </c>
      <c r="M57" s="279">
        <f t="shared" si="9"/>
        <v>32923480.544027559</v>
      </c>
    </row>
    <row r="58" spans="1:13" ht="15.75" thickBot="1">
      <c r="A58" s="1417"/>
      <c r="B58" s="1418"/>
      <c r="C58" s="8"/>
      <c r="D58" s="8"/>
      <c r="E58" s="8"/>
      <c r="F58" s="8"/>
      <c r="G58" s="8"/>
      <c r="H58" s="8"/>
      <c r="I58" s="8"/>
      <c r="J58" s="8"/>
      <c r="K58" s="8"/>
      <c r="L58" s="8"/>
      <c r="M58" s="280"/>
    </row>
    <row r="59" spans="1:13" ht="16.5" thickTop="1" thickBot="1">
      <c r="A59" s="1421" t="s">
        <v>86</v>
      </c>
      <c r="B59" s="1422"/>
      <c r="C59" s="195">
        <f>SUM(C27,C41,C46,C51,C57)</f>
        <v>21015528.460744534</v>
      </c>
      <c r="D59" s="195">
        <f>SUM(D27,D41,D46,D51,D57)</f>
        <v>21083551.151459724</v>
      </c>
      <c r="E59" s="195">
        <f>SUM(E27,E41,E46,E51,E57)</f>
        <v>22659528.807378855</v>
      </c>
      <c r="F59" s="195">
        <f>SUM(F27,F41,F46,F51,F57)</f>
        <v>22690881.214008912</v>
      </c>
      <c r="G59" s="195">
        <f t="shared" ref="G59:M59" si="10">SUM(G27,G41,G46,G51,G57)</f>
        <v>26392835.515101559</v>
      </c>
      <c r="H59" s="195">
        <f t="shared" si="10"/>
        <v>26412430.769245345</v>
      </c>
      <c r="I59" s="195">
        <f t="shared" si="10"/>
        <v>32632712.480851945</v>
      </c>
      <c r="J59" s="195">
        <f t="shared" si="10"/>
        <v>32632712.480851945</v>
      </c>
      <c r="K59" s="195">
        <f t="shared" si="10"/>
        <v>37255163.464691609</v>
      </c>
      <c r="L59" s="195">
        <f t="shared" si="10"/>
        <v>37255163.464691609</v>
      </c>
      <c r="M59" s="281">
        <f t="shared" si="10"/>
        <v>45208911.984165803</v>
      </c>
    </row>
    <row r="60" spans="1:13" ht="15.75" thickTop="1">
      <c r="A60" s="1423" t="s">
        <v>72</v>
      </c>
      <c r="B60" s="1424"/>
      <c r="C60" s="1419">
        <f>AVERAGE(C59:D59)</f>
        <v>21049539.806102127</v>
      </c>
      <c r="D60" s="1420"/>
      <c r="E60" s="1419">
        <f>AVERAGE(E59:F59)</f>
        <v>22675205.010693885</v>
      </c>
      <c r="F60" s="1420"/>
      <c r="G60" s="1419">
        <f>AVERAGE(G59:H59)</f>
        <v>26402633.142173454</v>
      </c>
      <c r="H60" s="1420"/>
      <c r="I60" s="1419">
        <f>AVERAGE(I59:J59)</f>
        <v>32632712.480851945</v>
      </c>
      <c r="J60" s="1420"/>
      <c r="K60" s="1419">
        <f>AVERAGE(K59:L59)</f>
        <v>37255163.464691609</v>
      </c>
      <c r="L60" s="1420"/>
      <c r="M60" s="282">
        <f>AVERAGE(M59)</f>
        <v>45208911.984165803</v>
      </c>
    </row>
    <row r="61" spans="1:13">
      <c r="A61" s="1388"/>
      <c r="B61" s="1389"/>
      <c r="C61" s="1324"/>
      <c r="D61" s="1325"/>
      <c r="E61" s="1324"/>
      <c r="F61" s="1325"/>
      <c r="G61" s="1324"/>
      <c r="H61" s="1325"/>
      <c r="I61" s="1324"/>
      <c r="J61" s="1325"/>
      <c r="K61" s="1324"/>
      <c r="L61" s="1325"/>
      <c r="M61" s="224"/>
    </row>
    <row r="62" spans="1:13">
      <c r="A62" s="1428" t="s">
        <v>66</v>
      </c>
      <c r="B62" s="1429"/>
      <c r="C62" s="1430">
        <f>'05-ED-2014'!F14*B100</f>
        <v>19597936.487531878</v>
      </c>
      <c r="D62" s="1431"/>
      <c r="E62" s="1430">
        <f>'05-ED-2014'!G14*B101</f>
        <v>26130581.983375832</v>
      </c>
      <c r="F62" s="1431"/>
      <c r="G62" s="1430">
        <f>'05-ED-2014'!H14*B101</f>
        <v>27438149.67585583</v>
      </c>
      <c r="H62" s="1431"/>
      <c r="I62" s="1430">
        <f>'05-ED-2014'!I14*B102</f>
        <v>28336309.244738214</v>
      </c>
      <c r="J62" s="1431"/>
      <c r="K62" s="1430">
        <f>'05-ED-2014'!J14*B102</f>
        <v>28360959.244738214</v>
      </c>
      <c r="L62" s="1431"/>
      <c r="M62" s="717">
        <f>'05-ED-2014'!K14*B102</f>
        <v>28385609.244738217</v>
      </c>
    </row>
    <row r="63" spans="1:13">
      <c r="A63" s="1388"/>
      <c r="B63" s="1389"/>
      <c r="C63" s="1425"/>
      <c r="D63" s="1426"/>
      <c r="E63" s="1427"/>
      <c r="F63" s="1389"/>
      <c r="G63" s="1427"/>
      <c r="H63" s="1389"/>
      <c r="I63" s="1427"/>
      <c r="J63" s="1389"/>
      <c r="K63" s="1427"/>
      <c r="L63" s="1389"/>
      <c r="M63" s="283"/>
    </row>
    <row r="64" spans="1:13">
      <c r="A64" s="284" t="s">
        <v>365</v>
      </c>
      <c r="B64" s="257">
        <v>0.1</v>
      </c>
      <c r="C64" s="1434">
        <f>SUM(C60,C62)*$B$64</f>
        <v>4064747.6293634009</v>
      </c>
      <c r="D64" s="1435"/>
      <c r="E64" s="1434">
        <f>SUM(E60,E62)*$B$64</f>
        <v>4880578.6994069722</v>
      </c>
      <c r="F64" s="1435"/>
      <c r="G64" s="1434">
        <f>SUM(G60,G62)*$B$64</f>
        <v>5384078.281802929</v>
      </c>
      <c r="H64" s="1435"/>
      <c r="I64" s="1434">
        <f>SUM(I60,I62)*$B$64</f>
        <v>6096902.1725590155</v>
      </c>
      <c r="J64" s="1435"/>
      <c r="K64" s="1434">
        <f>SUM(K60,K62)*$B$64</f>
        <v>6561612.2709429823</v>
      </c>
      <c r="L64" s="1435"/>
      <c r="M64" s="285">
        <f>SUM(M60,M62)*$B$64</f>
        <v>7359452.1228904026</v>
      </c>
    </row>
    <row r="65" spans="1:13" s="57" customFormat="1">
      <c r="A65" s="227" t="s">
        <v>439</v>
      </c>
      <c r="B65" s="257">
        <v>0.1</v>
      </c>
      <c r="C65" s="1434">
        <f>SUM(C62,C60)*$B$65</f>
        <v>4064747.6293634009</v>
      </c>
      <c r="D65" s="1435"/>
      <c r="E65" s="1434">
        <f>SUM(E60,E62)*$B$65</f>
        <v>4880578.6994069722</v>
      </c>
      <c r="F65" s="1435"/>
      <c r="G65" s="1434">
        <f>SUM(G60,G62)*$B$65</f>
        <v>5384078.281802929</v>
      </c>
      <c r="H65" s="1435"/>
      <c r="I65" s="1434">
        <f>SUM(I60,I62)*$B$65</f>
        <v>6096902.1725590155</v>
      </c>
      <c r="J65" s="1435"/>
      <c r="K65" s="1434">
        <f>SUM(K60,K62)*$B$65</f>
        <v>6561612.2709429823</v>
      </c>
      <c r="L65" s="1435"/>
      <c r="M65" s="285">
        <f>SUM(M60,M62)*$B$65</f>
        <v>7359452.1228904026</v>
      </c>
    </row>
    <row r="66" spans="1:13">
      <c r="A66" s="286" t="s">
        <v>440</v>
      </c>
      <c r="B66" s="258">
        <v>0.05</v>
      </c>
      <c r="C66" s="1432">
        <f>SUM(C62,C60)*$B$66</f>
        <v>2032373.8146817004</v>
      </c>
      <c r="D66" s="1433"/>
      <c r="E66" s="1432">
        <f>SUM(E60,E62)*$B$66</f>
        <v>2440289.3497034861</v>
      </c>
      <c r="F66" s="1433"/>
      <c r="G66" s="1432">
        <f>SUM(G60,G62)*$B$66</f>
        <v>2692039.1409014645</v>
      </c>
      <c r="H66" s="1433"/>
      <c r="I66" s="1432">
        <f>SUM(I60,I62)*$B$66</f>
        <v>3048451.0862795077</v>
      </c>
      <c r="J66" s="1433"/>
      <c r="K66" s="1432">
        <f>SUM(K60,K62)*$B$66</f>
        <v>3280806.1354714911</v>
      </c>
      <c r="L66" s="1433"/>
      <c r="M66" s="287">
        <f>SUM(M60,M62)*$B$66</f>
        <v>3679726.0614452013</v>
      </c>
    </row>
    <row r="67" spans="1:13">
      <c r="A67" s="284" t="s">
        <v>445</v>
      </c>
      <c r="B67" s="257">
        <v>0.16</v>
      </c>
      <c r="C67" s="1434">
        <f>SUM(C66*B67)</f>
        <v>325179.8103490721</v>
      </c>
      <c r="D67" s="1435"/>
      <c r="E67" s="1434">
        <f>E66*B67</f>
        <v>390446.29595255776</v>
      </c>
      <c r="F67" s="1435"/>
      <c r="G67" s="1434">
        <f>G66*B67</f>
        <v>430726.26254423434</v>
      </c>
      <c r="H67" s="1435"/>
      <c r="I67" s="1434">
        <f>I66*B67</f>
        <v>487752.17380472127</v>
      </c>
      <c r="J67" s="1435"/>
      <c r="K67" s="1434">
        <f>K66*B67</f>
        <v>524928.98167543858</v>
      </c>
      <c r="L67" s="1435"/>
      <c r="M67" s="285">
        <f>M66*B67</f>
        <v>588756.16983123217</v>
      </c>
    </row>
    <row r="68" spans="1:13">
      <c r="A68" s="1388"/>
      <c r="B68" s="1389"/>
      <c r="C68" s="1425"/>
      <c r="D68" s="1426"/>
      <c r="E68" s="1427"/>
      <c r="F68" s="1389"/>
      <c r="G68" s="1427"/>
      <c r="H68" s="1389"/>
      <c r="I68" s="1427"/>
      <c r="J68" s="1389"/>
      <c r="K68" s="1427"/>
      <c r="L68" s="1389"/>
      <c r="M68" s="283"/>
    </row>
    <row r="69" spans="1:13">
      <c r="A69" s="1436" t="s">
        <v>13</v>
      </c>
      <c r="B69" s="1437"/>
      <c r="C69" s="1438">
        <f>'05-ED-2014'!F21*B101</f>
        <v>7182732.9842688693</v>
      </c>
      <c r="D69" s="1439"/>
      <c r="E69" s="1438">
        <f>'05-ED-2014'!G21</f>
        <v>10329163.973237552</v>
      </c>
      <c r="F69" s="1439"/>
      <c r="G69" s="1438">
        <f>'05-ED-2014'!H21</f>
        <v>14400654.763502076</v>
      </c>
      <c r="H69" s="1439"/>
      <c r="I69" s="1438">
        <f>'05-ED-2014'!I21*B103</f>
        <v>15514475.833109869</v>
      </c>
      <c r="J69" s="1439"/>
      <c r="K69" s="1438">
        <f>'05-ED-2014'!J21*B104</f>
        <v>17645368.518269468</v>
      </c>
      <c r="L69" s="1439"/>
      <c r="M69" s="288">
        <f>'05-ED-2014'!K21*B104</f>
        <v>22291581.893065024</v>
      </c>
    </row>
    <row r="70" spans="1:13">
      <c r="A70" s="1388"/>
      <c r="B70" s="1389"/>
      <c r="C70" s="1425"/>
      <c r="D70" s="1426"/>
      <c r="E70" s="1427"/>
      <c r="F70" s="1389"/>
      <c r="G70" s="1427"/>
      <c r="H70" s="1389"/>
      <c r="I70" s="1427"/>
      <c r="J70" s="1389"/>
      <c r="K70" s="1427"/>
      <c r="L70" s="1389"/>
      <c r="M70" s="283"/>
    </row>
    <row r="71" spans="1:13">
      <c r="A71" s="262" t="s">
        <v>365</v>
      </c>
      <c r="B71" s="255">
        <v>0.1</v>
      </c>
      <c r="C71" s="1373">
        <f>SUM(C60,C69)*$B$71</f>
        <v>2823227.2790370998</v>
      </c>
      <c r="D71" s="1374"/>
      <c r="E71" s="1373">
        <f>SUM(E60,E69)*$B$71</f>
        <v>3300436.8983931439</v>
      </c>
      <c r="F71" s="1374"/>
      <c r="G71" s="1373">
        <f>SUM(G60,G69)*$B$71</f>
        <v>4080328.7905675531</v>
      </c>
      <c r="H71" s="1374"/>
      <c r="I71" s="1373">
        <f>SUM(I60,I69)*$B$71</f>
        <v>4814718.8313961811</v>
      </c>
      <c r="J71" s="1374"/>
      <c r="K71" s="1373">
        <f>SUM(K60,K69)*$B$71</f>
        <v>5490053.1982961074</v>
      </c>
      <c r="L71" s="1374"/>
      <c r="M71" s="289">
        <f>SUM(M60,M69)*$B$71</f>
        <v>6750049.3877230827</v>
      </c>
    </row>
    <row r="72" spans="1:13" s="57" customFormat="1">
      <c r="A72" s="262" t="s">
        <v>439</v>
      </c>
      <c r="B72" s="255">
        <v>0.1</v>
      </c>
      <c r="C72" s="1373">
        <f>SUM(C69,C60)*$B$72</f>
        <v>2823227.2790370998</v>
      </c>
      <c r="D72" s="1374"/>
      <c r="E72" s="1373">
        <f>SUM(E69,E60)*$B$72</f>
        <v>3300436.8983931439</v>
      </c>
      <c r="F72" s="1374"/>
      <c r="G72" s="1373">
        <f>SUM(G69,G60)*$B$72</f>
        <v>4080328.7905675531</v>
      </c>
      <c r="H72" s="1374"/>
      <c r="I72" s="1373">
        <f>SUM(I69,I60)*$B$72</f>
        <v>4814718.8313961811</v>
      </c>
      <c r="J72" s="1374"/>
      <c r="K72" s="1373">
        <f>SUM(K69,K60)*$B$72</f>
        <v>5490053.1982961074</v>
      </c>
      <c r="L72" s="1374"/>
      <c r="M72" s="289">
        <f>SUM(M69,M60)*$B$72</f>
        <v>6750049.3877230827</v>
      </c>
    </row>
    <row r="73" spans="1:13">
      <c r="A73" s="262" t="s">
        <v>440</v>
      </c>
      <c r="B73" s="255">
        <v>0.05</v>
      </c>
      <c r="C73" s="1373">
        <f>SUM(C69,C60)*$B$73</f>
        <v>1411613.6395185499</v>
      </c>
      <c r="D73" s="1374"/>
      <c r="E73" s="1373">
        <f>SUM(E69,E60)*$B$73</f>
        <v>1650218.4491965719</v>
      </c>
      <c r="F73" s="1374"/>
      <c r="G73" s="1373">
        <f>SUM(G69,G60)*$B$73</f>
        <v>2040164.3952837766</v>
      </c>
      <c r="H73" s="1374"/>
      <c r="I73" s="1373">
        <f>SUM(I69,I60)*$B$73</f>
        <v>2407359.4156980906</v>
      </c>
      <c r="J73" s="1374"/>
      <c r="K73" s="1373">
        <f>SUM(K69,K60)*$B$73</f>
        <v>2745026.5991480537</v>
      </c>
      <c r="L73" s="1374"/>
      <c r="M73" s="289">
        <f>SUM(M69,M60)*$B$73</f>
        <v>3375024.6938615413</v>
      </c>
    </row>
    <row r="74" spans="1:13">
      <c r="A74" s="262" t="s">
        <v>445</v>
      </c>
      <c r="B74" s="255">
        <v>0.16</v>
      </c>
      <c r="C74" s="1373">
        <f>SUM(C73*B74)</f>
        <v>225858.182322968</v>
      </c>
      <c r="D74" s="1374"/>
      <c r="E74" s="1373">
        <f>E73*B74</f>
        <v>264034.95187145151</v>
      </c>
      <c r="F74" s="1374"/>
      <c r="G74" s="1373">
        <f>G73*B74</f>
        <v>326426.30324540427</v>
      </c>
      <c r="H74" s="1374"/>
      <c r="I74" s="1373">
        <f>I73*B74</f>
        <v>385177.50651169452</v>
      </c>
      <c r="J74" s="1374"/>
      <c r="K74" s="1373">
        <f>K73*B74</f>
        <v>439204.2558636886</v>
      </c>
      <c r="L74" s="1374"/>
      <c r="M74" s="289">
        <f>M73*B74</f>
        <v>540003.95101784659</v>
      </c>
    </row>
    <row r="75" spans="1:13">
      <c r="A75" s="1447"/>
      <c r="B75" s="1448"/>
      <c r="C75" s="1440"/>
      <c r="D75" s="1441"/>
      <c r="E75" s="1440"/>
      <c r="F75" s="1441"/>
      <c r="G75" s="1440"/>
      <c r="H75" s="1441"/>
      <c r="I75" s="1440"/>
      <c r="J75" s="1441"/>
      <c r="K75" s="1440"/>
      <c r="L75" s="1441"/>
      <c r="M75" s="421"/>
    </row>
    <row r="76" spans="1:13" ht="21" customHeight="1" thickBot="1">
      <c r="A76" s="1445" t="s">
        <v>542</v>
      </c>
      <c r="B76" s="1446"/>
      <c r="C76" s="804"/>
      <c r="D76" s="805">
        <f>SUM(C62,C60,C64:D67)</f>
        <v>51134525.177391581</v>
      </c>
      <c r="E76" s="808"/>
      <c r="F76" s="809">
        <f>SUM(E62,E60,E64:F67)</f>
        <v>61397680.038539708</v>
      </c>
      <c r="G76" s="804"/>
      <c r="H76" s="805">
        <f>SUM(G62,G60,G64:H67)</f>
        <v>67731704.785080835</v>
      </c>
      <c r="I76" s="808"/>
      <c r="J76" s="809">
        <f>SUM(I62,I60,I64:J67)</f>
        <v>76699029.330792412</v>
      </c>
      <c r="K76" s="804"/>
      <c r="L76" s="805">
        <f>SUM(K62,K60,K64:L67)</f>
        <v>82545082.368462712</v>
      </c>
      <c r="M76" s="805">
        <f>SUM(M62,M60,M64:M66)</f>
        <v>91993151.536130026</v>
      </c>
    </row>
    <row r="77" spans="1:13" ht="21.75" customHeight="1">
      <c r="A77" s="1443" t="s">
        <v>594</v>
      </c>
      <c r="B77" s="1444"/>
      <c r="C77" s="806"/>
      <c r="D77" s="800">
        <f>SUM(C60,C69,C71:D74)</f>
        <v>35516199.170286722</v>
      </c>
      <c r="E77" s="803"/>
      <c r="F77" s="807">
        <f>SUM(E60,E69,E71:F74)</f>
        <v>41519496.181785755</v>
      </c>
      <c r="G77" s="806"/>
      <c r="H77" s="800">
        <f>SUM(G60,G69,G71:H74)</f>
        <v>51330536.185339816</v>
      </c>
      <c r="I77" s="803"/>
      <c r="J77" s="807">
        <f>SUM(I60,I69,I71:J74)</f>
        <v>60569162.898963958</v>
      </c>
      <c r="K77" s="806"/>
      <c r="L77" s="800">
        <f>SUM(K60,K69,K71:L74)</f>
        <v>69064869.23456502</v>
      </c>
      <c r="M77" s="810">
        <f>SUM(M60,M69,M71:M74)</f>
        <v>84915621.297556385</v>
      </c>
    </row>
    <row r="79" spans="1:13">
      <c r="A79" s="6"/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>
      <c r="A80" s="22" t="s">
        <v>93</v>
      </c>
      <c r="B80" s="6"/>
      <c r="C80" s="119"/>
      <c r="D80" s="1442"/>
      <c r="E80" s="1442"/>
      <c r="F80" s="1442"/>
      <c r="G80" s="1442"/>
      <c r="H80" s="119"/>
      <c r="I80" s="5"/>
      <c r="J80" s="5"/>
      <c r="K80" s="5"/>
      <c r="L80" s="5"/>
      <c r="M80" s="5"/>
    </row>
    <row r="81" spans="1:13">
      <c r="C81" s="119"/>
      <c r="D81" s="119"/>
      <c r="E81" s="119"/>
      <c r="F81" s="119"/>
      <c r="G81" s="119"/>
      <c r="H81" s="119"/>
    </row>
    <row r="82" spans="1:13">
      <c r="A82" s="10" t="s">
        <v>73</v>
      </c>
      <c r="B82" s="298"/>
      <c r="C82" s="119"/>
      <c r="D82" s="119"/>
      <c r="E82" s="119"/>
      <c r="F82" s="119"/>
      <c r="G82" s="119"/>
      <c r="H82" s="119"/>
      <c r="I82" s="57"/>
      <c r="J82" s="57"/>
      <c r="K82" s="57"/>
      <c r="L82" s="57"/>
      <c r="M82" s="57"/>
    </row>
    <row r="83" spans="1:13">
      <c r="A83" s="57"/>
      <c r="B83" s="57"/>
      <c r="C83" s="846"/>
      <c r="D83" s="846"/>
      <c r="E83" s="846"/>
      <c r="F83" s="846"/>
      <c r="G83" s="846"/>
      <c r="H83" s="846"/>
      <c r="I83" s="57"/>
      <c r="J83" s="57"/>
      <c r="K83" s="57"/>
      <c r="L83" s="57"/>
      <c r="M83" s="57"/>
    </row>
    <row r="84" spans="1:13">
      <c r="A84" s="11" t="s">
        <v>94</v>
      </c>
      <c r="B84" s="299"/>
      <c r="C84" s="119"/>
      <c r="D84" s="119"/>
      <c r="E84" s="119"/>
      <c r="F84" s="119"/>
      <c r="G84" s="119"/>
      <c r="H84" s="119"/>
      <c r="I84" s="57"/>
      <c r="J84" s="57"/>
      <c r="K84" s="57"/>
      <c r="L84" s="57"/>
      <c r="M84" s="57"/>
    </row>
    <row r="85" spans="1:13">
      <c r="A85" s="291"/>
      <c r="B85" s="291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</row>
    <row r="86" spans="1:13">
      <c r="A86" s="12" t="s">
        <v>74</v>
      </c>
      <c r="B86" s="23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</row>
    <row r="87" spans="1:13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</row>
    <row r="88" spans="1:13">
      <c r="A88" s="13" t="s">
        <v>95</v>
      </c>
      <c r="B88" s="21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</row>
    <row r="89" spans="1:13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</row>
    <row r="90" spans="1:13">
      <c r="A90" s="293" t="s">
        <v>96</v>
      </c>
      <c r="B90" s="293"/>
      <c r="C90" s="293"/>
      <c r="D90" s="293"/>
      <c r="E90" s="293"/>
      <c r="F90" s="293"/>
      <c r="G90" s="293"/>
      <c r="H90" s="293"/>
      <c r="I90" s="293"/>
      <c r="J90" s="293"/>
      <c r="K90" s="57"/>
      <c r="L90" s="57"/>
      <c r="M90" s="57"/>
    </row>
    <row r="91" spans="1:13">
      <c r="A91" s="293"/>
      <c r="B91" s="293"/>
      <c r="C91" s="293"/>
      <c r="D91" s="293"/>
      <c r="E91" s="293"/>
      <c r="F91" s="293"/>
      <c r="G91" s="293"/>
      <c r="H91" s="293"/>
      <c r="I91" s="293"/>
      <c r="J91" s="293"/>
      <c r="K91" s="57"/>
      <c r="L91" s="57"/>
      <c r="M91" s="57"/>
    </row>
    <row r="92" spans="1:13">
      <c r="A92" s="293" t="s">
        <v>97</v>
      </c>
      <c r="B92" s="293"/>
      <c r="C92" s="293"/>
      <c r="D92" s="293"/>
      <c r="E92" s="293"/>
      <c r="F92" s="293"/>
      <c r="G92" s="293"/>
      <c r="H92" s="293"/>
      <c r="I92" s="293"/>
      <c r="J92" s="293"/>
      <c r="K92" s="57"/>
      <c r="L92" s="57"/>
      <c r="M92" s="57"/>
    </row>
    <row r="93" spans="1:13">
      <c r="A93" s="293"/>
      <c r="B93" s="293"/>
      <c r="C93" s="293"/>
      <c r="D93" s="293"/>
      <c r="E93" s="293"/>
      <c r="F93" s="293"/>
      <c r="G93" s="293"/>
      <c r="H93" s="293"/>
      <c r="I93" s="293"/>
      <c r="J93" s="293"/>
      <c r="K93" s="57"/>
      <c r="L93" s="57"/>
      <c r="M93" s="57"/>
    </row>
    <row r="94" spans="1:13">
      <c r="A94" s="293" t="s">
        <v>98</v>
      </c>
      <c r="B94" s="293"/>
      <c r="C94" s="293"/>
      <c r="D94" s="293"/>
      <c r="E94" s="293"/>
      <c r="F94" s="293"/>
      <c r="G94" s="293"/>
      <c r="H94" s="293"/>
      <c r="I94" s="293"/>
      <c r="J94" s="293"/>
      <c r="K94" s="57"/>
      <c r="L94" s="57"/>
      <c r="M94" s="57"/>
    </row>
    <row r="95" spans="1:13">
      <c r="A95" s="57"/>
      <c r="B95" s="57"/>
      <c r="C95" s="668"/>
      <c r="D95" s="668"/>
      <c r="E95" s="668"/>
      <c r="F95" s="668"/>
      <c r="G95" s="668"/>
      <c r="H95" s="668"/>
      <c r="I95" s="57"/>
      <c r="J95" s="57"/>
      <c r="K95" s="57"/>
      <c r="L95" s="57"/>
      <c r="M95" s="57"/>
    </row>
    <row r="96" spans="1:13">
      <c r="C96" s="845"/>
      <c r="D96" s="845"/>
      <c r="E96" s="845"/>
      <c r="F96" s="845"/>
      <c r="G96" s="845"/>
      <c r="H96" s="845"/>
      <c r="I96" s="242"/>
    </row>
    <row r="97" spans="1:2">
      <c r="A97" s="1362" t="s">
        <v>608</v>
      </c>
      <c r="B97" s="1362"/>
    </row>
    <row r="98" spans="1:2">
      <c r="A98" s="57" t="s">
        <v>617</v>
      </c>
      <c r="B98" s="57">
        <v>1.1000000000000001</v>
      </c>
    </row>
    <row r="99" spans="1:2">
      <c r="A99" s="57" t="s">
        <v>618</v>
      </c>
      <c r="B99" s="57">
        <v>1.3</v>
      </c>
    </row>
    <row r="100" spans="1:2">
      <c r="A100" t="s">
        <v>619</v>
      </c>
      <c r="B100">
        <v>1.05</v>
      </c>
    </row>
    <row r="101" spans="1:2">
      <c r="A101" s="57" t="s">
        <v>613</v>
      </c>
      <c r="B101" s="57">
        <v>1.4</v>
      </c>
    </row>
    <row r="102" spans="1:2">
      <c r="A102" t="s">
        <v>620</v>
      </c>
      <c r="B102">
        <v>0.6</v>
      </c>
    </row>
    <row r="103" spans="1:2">
      <c r="A103" t="s">
        <v>621</v>
      </c>
      <c r="B103">
        <v>0.8</v>
      </c>
    </row>
    <row r="104" spans="1:2">
      <c r="A104" s="57" t="s">
        <v>622</v>
      </c>
      <c r="B104">
        <v>0.7</v>
      </c>
    </row>
  </sheetData>
  <mergeCells count="157">
    <mergeCell ref="A97:B97"/>
    <mergeCell ref="D80:E80"/>
    <mergeCell ref="F80:G80"/>
    <mergeCell ref="A77:B77"/>
    <mergeCell ref="A76:B76"/>
    <mergeCell ref="A75:B75"/>
    <mergeCell ref="C75:D75"/>
    <mergeCell ref="E75:F75"/>
    <mergeCell ref="G75:H75"/>
    <mergeCell ref="K70:L70"/>
    <mergeCell ref="I75:J75"/>
    <mergeCell ref="K75:L75"/>
    <mergeCell ref="C74:D74"/>
    <mergeCell ref="E74:F74"/>
    <mergeCell ref="G74:H74"/>
    <mergeCell ref="I74:J74"/>
    <mergeCell ref="K74:L74"/>
    <mergeCell ref="I73:J73"/>
    <mergeCell ref="K73:L73"/>
    <mergeCell ref="C72:D72"/>
    <mergeCell ref="E72:F72"/>
    <mergeCell ref="G72:H72"/>
    <mergeCell ref="I72:J72"/>
    <mergeCell ref="K72:L72"/>
    <mergeCell ref="C73:D73"/>
    <mergeCell ref="E73:F73"/>
    <mergeCell ref="G73:H73"/>
    <mergeCell ref="A69:B69"/>
    <mergeCell ref="C69:D69"/>
    <mergeCell ref="E69:F69"/>
    <mergeCell ref="G69:H69"/>
    <mergeCell ref="I69:J69"/>
    <mergeCell ref="K69:L69"/>
    <mergeCell ref="C71:D71"/>
    <mergeCell ref="E71:F71"/>
    <mergeCell ref="G71:H71"/>
    <mergeCell ref="I71:J71"/>
    <mergeCell ref="K71:L71"/>
    <mergeCell ref="A70:B70"/>
    <mergeCell ref="C70:D70"/>
    <mergeCell ref="E70:F70"/>
    <mergeCell ref="G70:H70"/>
    <mergeCell ref="I70:J70"/>
    <mergeCell ref="A68:B68"/>
    <mergeCell ref="C68:D68"/>
    <mergeCell ref="E68:F68"/>
    <mergeCell ref="G68:H68"/>
    <mergeCell ref="I68:J68"/>
    <mergeCell ref="K68:L68"/>
    <mergeCell ref="C67:D67"/>
    <mergeCell ref="E67:F67"/>
    <mergeCell ref="G67:H67"/>
    <mergeCell ref="I67:J67"/>
    <mergeCell ref="K67:L67"/>
    <mergeCell ref="C66:D66"/>
    <mergeCell ref="E66:F66"/>
    <mergeCell ref="G66:H66"/>
    <mergeCell ref="I66:J66"/>
    <mergeCell ref="K66:L66"/>
    <mergeCell ref="C64:D64"/>
    <mergeCell ref="E64:F64"/>
    <mergeCell ref="G64:H64"/>
    <mergeCell ref="I64:J64"/>
    <mergeCell ref="K64:L64"/>
    <mergeCell ref="C65:D65"/>
    <mergeCell ref="K65:L65"/>
    <mergeCell ref="I65:J65"/>
    <mergeCell ref="E65:F65"/>
    <mergeCell ref="G65:H65"/>
    <mergeCell ref="A63:B63"/>
    <mergeCell ref="C63:D63"/>
    <mergeCell ref="E63:F63"/>
    <mergeCell ref="G63:H63"/>
    <mergeCell ref="I63:J63"/>
    <mergeCell ref="K63:L63"/>
    <mergeCell ref="A62:B62"/>
    <mergeCell ref="C62:D62"/>
    <mergeCell ref="E62:F62"/>
    <mergeCell ref="G62:H62"/>
    <mergeCell ref="I62:J62"/>
    <mergeCell ref="K62:L62"/>
    <mergeCell ref="K60:L60"/>
    <mergeCell ref="A61:B61"/>
    <mergeCell ref="C61:D61"/>
    <mergeCell ref="E61:F61"/>
    <mergeCell ref="G61:H61"/>
    <mergeCell ref="I61:J61"/>
    <mergeCell ref="K61:L61"/>
    <mergeCell ref="A59:B59"/>
    <mergeCell ref="A60:B60"/>
    <mergeCell ref="C60:D60"/>
    <mergeCell ref="E60:F60"/>
    <mergeCell ref="G60:H60"/>
    <mergeCell ref="I60:J60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34:B34"/>
    <mergeCell ref="A27:B27"/>
    <mergeCell ref="A28:B28"/>
    <mergeCell ref="A24:B24"/>
    <mergeCell ref="A25:B25"/>
    <mergeCell ref="A26:B26"/>
    <mergeCell ref="A41:B41"/>
    <mergeCell ref="A42:B42"/>
    <mergeCell ref="A43:B43"/>
    <mergeCell ref="A30:B30"/>
    <mergeCell ref="A31:B31"/>
    <mergeCell ref="A33:B33"/>
    <mergeCell ref="L1:M1"/>
    <mergeCell ref="L2:M2"/>
    <mergeCell ref="L3:M3"/>
    <mergeCell ref="C1:K2"/>
    <mergeCell ref="C3:K3"/>
    <mergeCell ref="A1:B3"/>
    <mergeCell ref="C4:M5"/>
    <mergeCell ref="A7:B7"/>
    <mergeCell ref="A29:B29"/>
    <mergeCell ref="A21:B21"/>
    <mergeCell ref="A22:B22"/>
    <mergeCell ref="A23:B23"/>
    <mergeCell ref="K8:L8"/>
    <mergeCell ref="A9:B9"/>
    <mergeCell ref="A11:B11"/>
    <mergeCell ref="A12:B12"/>
    <mergeCell ref="A13:B13"/>
    <mergeCell ref="A14:B14"/>
    <mergeCell ref="A8:B8"/>
    <mergeCell ref="C8:D8"/>
    <mergeCell ref="E8:F8"/>
    <mergeCell ref="G8:H8"/>
    <mergeCell ref="I8:J8"/>
    <mergeCell ref="A15:B15"/>
    <mergeCell ref="A16:B16"/>
    <mergeCell ref="A17:B17"/>
    <mergeCell ref="A18:B18"/>
    <mergeCell ref="A19:B19"/>
    <mergeCell ref="A20:B20"/>
    <mergeCell ref="A32:B32"/>
  </mergeCells>
  <pageMargins left="0.7" right="0.7" top="0.75" bottom="0.75" header="0.3" footer="0.3"/>
  <pageSetup orientation="portrait" horizontalDpi="4294967292" verticalDpi="300" r:id="rId1"/>
  <ignoredErrors>
    <ignoredError sqref="K15 E15:G15 I15 E16:E21 G16:G19 I16:I19 K16:K19 G20:K20 G21:K21 G23:K23 E31:K39 G44 E49:K49 G54:K54 I44:K44 D23 E5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G43"/>
  <sheetViews>
    <sheetView zoomScale="83" zoomScaleNormal="83" workbookViewId="0">
      <pane ySplit="4" topLeftCell="A5" activePane="bottomLeft" state="frozen"/>
      <selection pane="bottomLeft" activeCell="F1" sqref="F1:F3"/>
    </sheetView>
  </sheetViews>
  <sheetFormatPr baseColWidth="10" defaultRowHeight="15"/>
  <cols>
    <col min="1" max="1" width="33.28515625" customWidth="1"/>
    <col min="2" max="2" width="30.42578125" customWidth="1"/>
    <col min="3" max="3" width="17.42578125" customWidth="1"/>
    <col min="4" max="4" width="20.42578125" customWidth="1"/>
    <col min="5" max="5" width="29.28515625" customWidth="1"/>
    <col min="6" max="6" width="30.140625" customWidth="1"/>
  </cols>
  <sheetData>
    <row r="1" spans="1:7" ht="20.25" customHeight="1">
      <c r="A1" s="1254" t="s">
        <v>167</v>
      </c>
      <c r="B1" s="1393" t="s">
        <v>337</v>
      </c>
      <c r="C1" s="1394"/>
      <c r="D1" s="1394"/>
      <c r="E1" s="1395"/>
      <c r="F1" s="837" t="s">
        <v>404</v>
      </c>
    </row>
    <row r="2" spans="1:7" ht="20.25" customHeight="1">
      <c r="A2" s="1255"/>
      <c r="B2" s="1396"/>
      <c r="C2" s="1397"/>
      <c r="D2" s="1397"/>
      <c r="E2" s="1398"/>
      <c r="F2" s="838" t="s">
        <v>566</v>
      </c>
    </row>
    <row r="3" spans="1:7" ht="23.25" customHeight="1" thickBot="1">
      <c r="A3" s="1456"/>
      <c r="B3" s="1449" t="s">
        <v>405</v>
      </c>
      <c r="C3" s="1450"/>
      <c r="D3" s="1450"/>
      <c r="E3" s="1451"/>
      <c r="F3" s="839">
        <v>41959</v>
      </c>
    </row>
    <row r="4" spans="1:7">
      <c r="A4" s="1452" t="s">
        <v>100</v>
      </c>
      <c r="B4" s="1453"/>
      <c r="C4" s="198" t="s">
        <v>0</v>
      </c>
      <c r="D4" s="198" t="s">
        <v>1</v>
      </c>
      <c r="E4" s="198" t="s">
        <v>2</v>
      </c>
      <c r="F4" s="199" t="s">
        <v>3</v>
      </c>
      <c r="G4" s="1"/>
    </row>
    <row r="5" spans="1:7">
      <c r="A5" s="1454" t="s">
        <v>32</v>
      </c>
      <c r="B5" s="1455"/>
      <c r="C5" s="196"/>
      <c r="D5" s="196"/>
      <c r="E5" s="196"/>
      <c r="F5" s="200"/>
    </row>
    <row r="6" spans="1:7">
      <c r="A6" s="1390" t="s">
        <v>33</v>
      </c>
      <c r="B6" s="1391"/>
      <c r="C6" s="176"/>
      <c r="D6" s="176"/>
      <c r="E6" s="176"/>
      <c r="F6" s="177"/>
    </row>
    <row r="7" spans="1:7">
      <c r="A7" s="1386"/>
      <c r="B7" s="1387"/>
      <c r="C7" s="176"/>
      <c r="D7" s="176"/>
      <c r="E7" s="176"/>
      <c r="F7" s="177"/>
    </row>
    <row r="8" spans="1:7">
      <c r="A8" s="1390" t="s">
        <v>34</v>
      </c>
      <c r="B8" s="1391"/>
      <c r="C8" s="176"/>
      <c r="D8" s="176"/>
      <c r="E8" s="176"/>
      <c r="F8" s="177"/>
    </row>
    <row r="9" spans="1:7">
      <c r="A9" s="1386" t="s">
        <v>36</v>
      </c>
      <c r="B9" s="1387"/>
      <c r="C9" s="176">
        <f>'03-APU-2014'!D129/2</f>
        <v>132843.13669896501</v>
      </c>
      <c r="D9" s="176">
        <f>'03-APU-2014'!E129/2</f>
        <v>132843.13669896501</v>
      </c>
      <c r="E9" s="176">
        <f>'03-APU-2014'!F129/2</f>
        <v>132843.13669896501</v>
      </c>
      <c r="F9" s="177">
        <f>'03-APU-2014'!G129/2</f>
        <v>132843.13669896501</v>
      </c>
    </row>
    <row r="10" spans="1:7">
      <c r="A10" s="1390" t="s">
        <v>77</v>
      </c>
      <c r="B10" s="1391"/>
      <c r="C10" s="176"/>
      <c r="D10" s="176"/>
      <c r="E10" s="176"/>
      <c r="F10" s="177"/>
    </row>
    <row r="11" spans="1:7">
      <c r="A11" s="1386" t="s">
        <v>38</v>
      </c>
      <c r="B11" s="1387"/>
      <c r="C11" s="176">
        <f>'03-APU-2014'!D144</f>
        <v>474603.17987826344</v>
      </c>
      <c r="D11" s="176">
        <f>'03-APU-2014'!E144</f>
        <v>474603.17987826344</v>
      </c>
      <c r="E11" s="176">
        <f>'03-APU-2014'!F144</f>
        <v>474603.17987826344</v>
      </c>
      <c r="F11" s="177">
        <f>'03-APU-2014'!G144</f>
        <v>474603.17987826344</v>
      </c>
    </row>
    <row r="12" spans="1:7">
      <c r="A12" s="1386" t="s">
        <v>101</v>
      </c>
      <c r="B12" s="1387"/>
      <c r="C12" s="176">
        <f>'03-APU-2014'!D176/2</f>
        <v>298497.68353937007</v>
      </c>
      <c r="D12" s="176">
        <f>'03-APU-2014'!E176/2</f>
        <v>298497.68353937007</v>
      </c>
      <c r="E12" s="176">
        <f>'03-APU-2014'!F176/2</f>
        <v>298497.68353937007</v>
      </c>
      <c r="F12" s="177">
        <f>'03-APU-2014'!G176/2</f>
        <v>298497.68353937007</v>
      </c>
    </row>
    <row r="13" spans="1:7">
      <c r="A13" s="1388"/>
      <c r="B13" s="1389"/>
      <c r="C13" s="176"/>
      <c r="D13" s="176"/>
      <c r="E13" s="176"/>
      <c r="F13" s="177"/>
    </row>
    <row r="14" spans="1:7">
      <c r="A14" s="1390" t="s">
        <v>441</v>
      </c>
      <c r="B14" s="1391"/>
      <c r="C14" s="176">
        <f>'03-APU-2014'!D203/2</f>
        <v>193640</v>
      </c>
      <c r="D14" s="176">
        <f>'03-APU-2014'!E203/2</f>
        <v>193640</v>
      </c>
      <c r="E14" s="176">
        <f>'03-APU-2014'!F203/2</f>
        <v>193640</v>
      </c>
      <c r="F14" s="177">
        <f>'03-APU-2014'!G203/2</f>
        <v>193640</v>
      </c>
    </row>
    <row r="15" spans="1:7">
      <c r="A15" s="1388"/>
      <c r="B15" s="1389"/>
      <c r="C15" s="176"/>
      <c r="D15" s="176"/>
      <c r="E15" s="176"/>
      <c r="F15" s="177"/>
    </row>
    <row r="16" spans="1:7" ht="28.5" customHeight="1">
      <c r="A16" s="1464" t="s">
        <v>565</v>
      </c>
      <c r="B16" s="1465"/>
      <c r="C16" s="674">
        <f>'03-APU-2014'!D65-'03-APU-2014'!D62-((1/2)*'03-APU-2014'!D64)</f>
        <v>858196.00000000012</v>
      </c>
      <c r="D16" s="674">
        <f>'03-APU-2014'!E65-'03-APU-2014'!E62-((1/2)*'03-APU-2014'!E64)</f>
        <v>858196.00000000012</v>
      </c>
      <c r="E16" s="674">
        <f>'03-APU-2014'!F65-'03-APU-2014'!F62-((1/2)*'03-APU-2014'!F64)</f>
        <v>858196.00000000012</v>
      </c>
      <c r="F16" s="674">
        <f>'03-APU-2014'!G65-'03-APU-2014'!G62-((1/2)*'03-APU-2014'!G64)</f>
        <v>858196.00000000012</v>
      </c>
    </row>
    <row r="17" spans="1:6">
      <c r="A17" s="1386"/>
      <c r="B17" s="1387"/>
      <c r="C17" s="176"/>
      <c r="D17" s="176"/>
      <c r="E17" s="176"/>
      <c r="F17" s="177"/>
    </row>
    <row r="18" spans="1:6">
      <c r="A18" s="1462" t="s">
        <v>46</v>
      </c>
      <c r="B18" s="1463"/>
      <c r="C18" s="196">
        <f>SUM(C9,C11,C12,C14,C16)</f>
        <v>1957780.0001165988</v>
      </c>
      <c r="D18" s="196">
        <f>SUM(D9,D11,D12,D14,D16)</f>
        <v>1957780.0001165988</v>
      </c>
      <c r="E18" s="196">
        <f>SUM(E9,E11,E12,E14,E16)</f>
        <v>1957780.0001165988</v>
      </c>
      <c r="F18" s="200">
        <f>SUM(F9,F11,F12,F14,F16)</f>
        <v>1957780.0001165988</v>
      </c>
    </row>
    <row r="19" spans="1:6">
      <c r="A19" s="1390" t="s">
        <v>47</v>
      </c>
      <c r="B19" s="1391"/>
      <c r="C19" s="176"/>
      <c r="D19" s="176"/>
      <c r="E19" s="176"/>
      <c r="F19" s="177"/>
    </row>
    <row r="20" spans="1:6">
      <c r="A20" s="1386" t="s">
        <v>48</v>
      </c>
      <c r="B20" s="1387"/>
      <c r="C20" s="176">
        <f>'03-APU-2014'!D218</f>
        <v>112096.10866666665</v>
      </c>
      <c r="D20" s="176">
        <f>'03-APU-2014'!E218</f>
        <v>112096.10866666665</v>
      </c>
      <c r="E20" s="176">
        <f>'03-APU-2014'!F218</f>
        <v>112096.10866666665</v>
      </c>
      <c r="F20" s="177">
        <f>'03-APU-2014'!G218</f>
        <v>112096.10866666665</v>
      </c>
    </row>
    <row r="21" spans="1:6">
      <c r="A21" s="1386" t="s">
        <v>51</v>
      </c>
      <c r="B21" s="1387"/>
      <c r="C21" s="197">
        <f>'03-APU-2014'!D221/2</f>
        <v>161136.52571948001</v>
      </c>
      <c r="D21" s="197">
        <f>'03-APU-2014'!E221/2</f>
        <v>161136.52571948001</v>
      </c>
      <c r="E21" s="197">
        <f>'03-APU-2014'!F221/2</f>
        <v>161136.52571948001</v>
      </c>
      <c r="F21" s="676">
        <f>'03-APU-2014'!G221/2</f>
        <v>161136.52571948001</v>
      </c>
    </row>
    <row r="22" spans="1:6">
      <c r="A22" s="1386"/>
      <c r="B22" s="1387"/>
      <c r="C22" s="176"/>
      <c r="D22" s="176"/>
      <c r="E22" s="176"/>
      <c r="F22" s="177"/>
    </row>
    <row r="23" spans="1:6">
      <c r="A23" s="1462" t="s">
        <v>46</v>
      </c>
      <c r="B23" s="1463"/>
      <c r="C23" s="196">
        <f>SUM(C20,C21)</f>
        <v>273232.63438614667</v>
      </c>
      <c r="D23" s="196">
        <f>SUM(D20,D21)</f>
        <v>273232.63438614667</v>
      </c>
      <c r="E23" s="196">
        <f>SUM(E20,E21)</f>
        <v>273232.63438614667</v>
      </c>
      <c r="F23" s="200">
        <f>SUM(F20,F21)</f>
        <v>273232.63438614667</v>
      </c>
    </row>
    <row r="24" spans="1:6">
      <c r="A24" s="1386"/>
      <c r="B24" s="1387"/>
      <c r="C24" s="176"/>
      <c r="D24" s="176"/>
      <c r="E24" s="176"/>
      <c r="F24" s="177"/>
    </row>
    <row r="25" spans="1:6">
      <c r="A25" s="1390" t="s">
        <v>57</v>
      </c>
      <c r="B25" s="1391"/>
      <c r="C25" s="176"/>
      <c r="D25" s="176"/>
      <c r="E25" s="176"/>
      <c r="F25" s="177"/>
    </row>
    <row r="26" spans="1:6">
      <c r="A26" s="1386" t="s">
        <v>102</v>
      </c>
      <c r="B26" s="1387"/>
      <c r="C26" s="176">
        <f>'03-APU-2014'!D368</f>
        <v>47117.676161116622</v>
      </c>
      <c r="D26" s="176">
        <f>'03-APU-2014'!E368</f>
        <v>47117.676161116622</v>
      </c>
      <c r="E26" s="176">
        <f>'03-APU-2014'!F368</f>
        <v>47117.676161116622</v>
      </c>
      <c r="F26" s="177">
        <f>'03-APU-2014'!G368</f>
        <v>47117.676161116622</v>
      </c>
    </row>
    <row r="27" spans="1:6">
      <c r="A27" s="1386" t="s">
        <v>103</v>
      </c>
      <c r="B27" s="1387"/>
      <c r="C27" s="176">
        <f>'03-APU-2014'!D371</f>
        <v>60579.869350007088</v>
      </c>
      <c r="D27" s="176">
        <f>'03-APU-2014'!E371</f>
        <v>60579.869350007088</v>
      </c>
      <c r="E27" s="176">
        <f>'03-APU-2014'!F371</f>
        <v>60579.869350007088</v>
      </c>
      <c r="F27" s="177">
        <f>'03-APU-2014'!G371</f>
        <v>60579.869350007088</v>
      </c>
    </row>
    <row r="28" spans="1:6">
      <c r="A28" s="1386" t="s">
        <v>104</v>
      </c>
      <c r="B28" s="1387"/>
      <c r="C28" s="176">
        <f>'03-APU-2014'!D374</f>
        <v>80773.159133342779</v>
      </c>
      <c r="D28" s="176">
        <f>'03-APU-2014'!E374</f>
        <v>80773.159133342779</v>
      </c>
      <c r="E28" s="176">
        <f>'03-APU-2014'!F374</f>
        <v>80773.159133342779</v>
      </c>
      <c r="F28" s="177">
        <f>'03-APU-2014'!G374</f>
        <v>80773.159133342779</v>
      </c>
    </row>
    <row r="29" spans="1:6">
      <c r="A29" s="1386"/>
      <c r="B29" s="1387"/>
      <c r="C29" s="176"/>
      <c r="D29" s="176"/>
      <c r="E29" s="176"/>
      <c r="F29" s="177"/>
    </row>
    <row r="30" spans="1:6">
      <c r="A30" s="1462" t="s">
        <v>46</v>
      </c>
      <c r="B30" s="1463"/>
      <c r="C30" s="196">
        <f>SUM(C26,C27,C28)</f>
        <v>188470.70464446649</v>
      </c>
      <c r="D30" s="196">
        <f>SUM(D26,D27,D28)</f>
        <v>188470.70464446649</v>
      </c>
      <c r="E30" s="196">
        <f>SUM(E26,E27,E28)</f>
        <v>188470.70464446649</v>
      </c>
      <c r="F30" s="200">
        <f>SUM(F26,F27,F28)</f>
        <v>188470.70464446649</v>
      </c>
    </row>
    <row r="31" spans="1:6">
      <c r="A31" s="1390" t="s">
        <v>62</v>
      </c>
      <c r="B31" s="1391"/>
      <c r="C31" s="176"/>
      <c r="D31" s="176"/>
      <c r="E31" s="176"/>
      <c r="F31" s="177"/>
    </row>
    <row r="32" spans="1:6">
      <c r="A32" s="1386" t="s">
        <v>105</v>
      </c>
      <c r="B32" s="1387"/>
      <c r="C32" s="176">
        <f>'03-APU-2014'!D377</f>
        <v>57102.584849316678</v>
      </c>
      <c r="D32" s="176">
        <f>'03-APU-2014'!E377</f>
        <v>67838.683917456816</v>
      </c>
      <c r="E32" s="176">
        <f>'03-APU-2014'!F377</f>
        <v>201382.29413193132</v>
      </c>
      <c r="F32" s="177">
        <f>'03-APU-2014'!G377</f>
        <v>370786.49456297228</v>
      </c>
    </row>
    <row r="33" spans="1:6">
      <c r="A33" s="1386"/>
      <c r="B33" s="1387"/>
      <c r="C33" s="176"/>
      <c r="D33" s="176"/>
      <c r="E33" s="176"/>
      <c r="F33" s="177"/>
    </row>
    <row r="34" spans="1:6">
      <c r="A34" s="1462" t="s">
        <v>46</v>
      </c>
      <c r="B34" s="1463"/>
      <c r="C34" s="196">
        <f>C32</f>
        <v>57102.584849316678</v>
      </c>
      <c r="D34" s="196">
        <f>D32</f>
        <v>67838.683917456816</v>
      </c>
      <c r="E34" s="196">
        <f>E32</f>
        <v>201382.29413193132</v>
      </c>
      <c r="F34" s="200">
        <f>F32</f>
        <v>370786.49456297228</v>
      </c>
    </row>
    <row r="35" spans="1:6">
      <c r="A35" s="1386"/>
      <c r="B35" s="1387"/>
      <c r="C35" s="176"/>
      <c r="D35" s="176"/>
      <c r="E35" s="176"/>
      <c r="F35" s="177"/>
    </row>
    <row r="36" spans="1:6">
      <c r="A36" s="1459" t="s">
        <v>106</v>
      </c>
      <c r="B36" s="1460"/>
      <c r="C36" s="259">
        <f>SUM(C18,C23,C30,C34)</f>
        <v>2476585.9239965281</v>
      </c>
      <c r="D36" s="259">
        <f>SUM(D18,D23,D30,D34)</f>
        <v>2487322.0230646683</v>
      </c>
      <c r="E36" s="259">
        <f>SUM(E18,E23,E30,E34)</f>
        <v>2620865.6332791429</v>
      </c>
      <c r="F36" s="260">
        <f>SUM(F18,F23,F30,F34)</f>
        <v>2790269.8337101839</v>
      </c>
    </row>
    <row r="37" spans="1:6" ht="6.75" customHeight="1">
      <c r="A37" s="1388"/>
      <c r="B37" s="1461"/>
      <c r="C37" s="201"/>
      <c r="D37" s="201"/>
      <c r="E37" s="201"/>
      <c r="F37" s="202"/>
    </row>
    <row r="38" spans="1:6">
      <c r="A38" s="262" t="s">
        <v>365</v>
      </c>
      <c r="B38" s="255">
        <v>0.1</v>
      </c>
      <c r="C38" s="176">
        <f>C36*B38</f>
        <v>247658.59239965281</v>
      </c>
      <c r="D38" s="176">
        <f>D36*B38</f>
        <v>248732.20230646685</v>
      </c>
      <c r="E38" s="261">
        <f>$E$36*B38</f>
        <v>262086.56332791431</v>
      </c>
      <c r="F38" s="263">
        <f>$F$36*B38</f>
        <v>279026.98337101837</v>
      </c>
    </row>
    <row r="39" spans="1:6" s="57" customFormat="1">
      <c r="A39" s="262" t="s">
        <v>439</v>
      </c>
      <c r="B39" s="255">
        <v>0.1</v>
      </c>
      <c r="C39" s="176">
        <f>C36*B39</f>
        <v>247658.59239965281</v>
      </c>
      <c r="D39" s="176">
        <f>D36*B39</f>
        <v>248732.20230646685</v>
      </c>
      <c r="E39" s="261">
        <f>$E$36*B39</f>
        <v>262086.56332791431</v>
      </c>
      <c r="F39" s="263">
        <f>$F$36*B39</f>
        <v>279026.98337101837</v>
      </c>
    </row>
    <row r="40" spans="1:6" s="57" customFormat="1">
      <c r="A40" s="262" t="s">
        <v>440</v>
      </c>
      <c r="B40" s="255">
        <v>0.05</v>
      </c>
      <c r="C40" s="176">
        <f>C36*B40</f>
        <v>123829.29619982641</v>
      </c>
      <c r="D40" s="176">
        <f>D36*B40</f>
        <v>124366.10115323342</v>
      </c>
      <c r="E40" s="261">
        <f>$E$36*B40</f>
        <v>131043.28166395715</v>
      </c>
      <c r="F40" s="263">
        <f>$F$36*B40</f>
        <v>139513.49168550919</v>
      </c>
    </row>
    <row r="41" spans="1:6">
      <c r="A41" s="262" t="s">
        <v>445</v>
      </c>
      <c r="B41" s="255">
        <v>0.16</v>
      </c>
      <c r="C41" s="176">
        <f>C40*B41</f>
        <v>19812.687391972224</v>
      </c>
      <c r="D41" s="176">
        <f>C40*B41</f>
        <v>19812.687391972224</v>
      </c>
      <c r="E41" s="261">
        <f>E40*B41</f>
        <v>20966.925066233143</v>
      </c>
      <c r="F41" s="263">
        <f>F40*B41</f>
        <v>22322.15866968147</v>
      </c>
    </row>
    <row r="42" spans="1:6" ht="7.5" customHeight="1">
      <c r="A42" s="1386"/>
      <c r="B42" s="1387"/>
      <c r="C42" s="201"/>
      <c r="D42" s="201"/>
      <c r="E42" s="201"/>
      <c r="F42" s="202"/>
    </row>
    <row r="43" spans="1:6" ht="28.9" customHeight="1" thickBot="1">
      <c r="A43" s="1457" t="s">
        <v>541</v>
      </c>
      <c r="B43" s="1458"/>
      <c r="C43" s="277">
        <f>SUM(C38:C41,C36)</f>
        <v>3115545.0923876325</v>
      </c>
      <c r="D43" s="277">
        <f>SUM(D38:D41,D36)</f>
        <v>3128965.2162228078</v>
      </c>
      <c r="E43" s="277">
        <f>SUM(E38:E41,E36)</f>
        <v>3297048.9666651618</v>
      </c>
      <c r="F43" s="677">
        <f>SUM(F38:F41,F36)</f>
        <v>3510159.4508074112</v>
      </c>
    </row>
  </sheetData>
  <mergeCells count="39">
    <mergeCell ref="A9:B9"/>
    <mergeCell ref="A26:B26"/>
    <mergeCell ref="A15:B15"/>
    <mergeCell ref="A16:B16"/>
    <mergeCell ref="A17:B17"/>
    <mergeCell ref="A18:B18"/>
    <mergeCell ref="A19:B19"/>
    <mergeCell ref="A20:B20"/>
    <mergeCell ref="A42:B42"/>
    <mergeCell ref="A43:B43"/>
    <mergeCell ref="A36:B36"/>
    <mergeCell ref="A37:B37"/>
    <mergeCell ref="A21:B21"/>
    <mergeCell ref="A22:B22"/>
    <mergeCell ref="A23:B23"/>
    <mergeCell ref="A24:B24"/>
    <mergeCell ref="A25:B25"/>
    <mergeCell ref="A33:B33"/>
    <mergeCell ref="A34:B34"/>
    <mergeCell ref="A35:B35"/>
    <mergeCell ref="A27:B27"/>
    <mergeCell ref="A28:B28"/>
    <mergeCell ref="A29:B29"/>
    <mergeCell ref="A30:B30"/>
    <mergeCell ref="B1:E2"/>
    <mergeCell ref="B3:E3"/>
    <mergeCell ref="A8:B8"/>
    <mergeCell ref="A4:B4"/>
    <mergeCell ref="A5:B5"/>
    <mergeCell ref="A6:B6"/>
    <mergeCell ref="A7:B7"/>
    <mergeCell ref="A1:A3"/>
    <mergeCell ref="A31:B31"/>
    <mergeCell ref="A32:B32"/>
    <mergeCell ref="A10:B10"/>
    <mergeCell ref="A11:B11"/>
    <mergeCell ref="A12:B12"/>
    <mergeCell ref="A13:B13"/>
    <mergeCell ref="A14:B14"/>
  </mergeCells>
  <pageMargins left="0.7" right="0.7" top="0.75" bottom="0.75" header="0.3" footer="0.3"/>
  <pageSetup orientation="portrait" r:id="rId1"/>
  <ignoredErrors>
    <ignoredError sqref="D38:D4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R60"/>
  <sheetViews>
    <sheetView zoomScale="80" zoomScaleNormal="80" workbookViewId="0">
      <pane ySplit="6" topLeftCell="A7" activePane="bottomLeft" state="frozen"/>
      <selection pane="bottomLeft" activeCell="K1" sqref="K1:L3"/>
    </sheetView>
  </sheetViews>
  <sheetFormatPr baseColWidth="10" defaultRowHeight="15"/>
  <cols>
    <col min="1" max="1" width="24.28515625" customWidth="1"/>
    <col min="2" max="2" width="22.7109375" customWidth="1"/>
    <col min="3" max="3" width="19.5703125" customWidth="1"/>
    <col min="4" max="8" width="15.7109375" customWidth="1"/>
    <col min="9" max="9" width="17.7109375" customWidth="1"/>
    <col min="10" max="10" width="15.7109375" customWidth="1"/>
    <col min="11" max="11" width="17.28515625" customWidth="1"/>
    <col min="12" max="12" width="17.5703125" customWidth="1"/>
    <col min="18" max="18" width="12.85546875" bestFit="1" customWidth="1"/>
  </cols>
  <sheetData>
    <row r="1" spans="1:12" ht="23.25" customHeight="1">
      <c r="A1" s="1481" t="s">
        <v>167</v>
      </c>
      <c r="B1" s="1482"/>
      <c r="C1" s="1393" t="s">
        <v>337</v>
      </c>
      <c r="D1" s="1394"/>
      <c r="E1" s="1394"/>
      <c r="F1" s="1394"/>
      <c r="G1" s="1394"/>
      <c r="H1" s="1394"/>
      <c r="I1" s="1394"/>
      <c r="J1" s="1395"/>
      <c r="K1" s="1475" t="s">
        <v>407</v>
      </c>
      <c r="L1" s="1476"/>
    </row>
    <row r="2" spans="1:12" ht="17.25" customHeight="1">
      <c r="A2" s="1483"/>
      <c r="B2" s="1363"/>
      <c r="C2" s="1396"/>
      <c r="D2" s="1397"/>
      <c r="E2" s="1397"/>
      <c r="F2" s="1397"/>
      <c r="G2" s="1397"/>
      <c r="H2" s="1397"/>
      <c r="I2" s="1397"/>
      <c r="J2" s="1398"/>
      <c r="K2" s="1477" t="s">
        <v>564</v>
      </c>
      <c r="L2" s="1478"/>
    </row>
    <row r="3" spans="1:12" ht="23.25" customHeight="1" thickBot="1">
      <c r="A3" s="1484"/>
      <c r="B3" s="1485"/>
      <c r="C3" s="1486" t="s">
        <v>408</v>
      </c>
      <c r="D3" s="1486"/>
      <c r="E3" s="1486"/>
      <c r="F3" s="1486"/>
      <c r="G3" s="1486"/>
      <c r="H3" s="1486"/>
      <c r="I3" s="1486"/>
      <c r="J3" s="1486"/>
      <c r="K3" s="1479">
        <v>41959</v>
      </c>
      <c r="L3" s="1480"/>
    </row>
    <row r="4" spans="1:12">
      <c r="A4" s="1468" t="s">
        <v>31</v>
      </c>
      <c r="B4" s="1469"/>
      <c r="C4" s="1466" t="s">
        <v>0</v>
      </c>
      <c r="D4" s="1466"/>
      <c r="E4" s="1466" t="s">
        <v>1</v>
      </c>
      <c r="F4" s="1466"/>
      <c r="G4" s="1466" t="s">
        <v>2</v>
      </c>
      <c r="H4" s="1466"/>
      <c r="I4" s="1466" t="s">
        <v>3</v>
      </c>
      <c r="J4" s="1466"/>
      <c r="K4" s="1466" t="s">
        <v>4</v>
      </c>
      <c r="L4" s="1467"/>
    </row>
    <row r="5" spans="1:12">
      <c r="A5" s="1472"/>
      <c r="B5" s="1441"/>
      <c r="C5" s="626" t="s">
        <v>118</v>
      </c>
      <c r="D5" s="626" t="s">
        <v>119</v>
      </c>
      <c r="E5" s="626" t="s">
        <v>118</v>
      </c>
      <c r="F5" s="626" t="s">
        <v>119</v>
      </c>
      <c r="G5" s="626" t="s">
        <v>118</v>
      </c>
      <c r="H5" s="626" t="s">
        <v>119</v>
      </c>
      <c r="I5" s="626" t="s">
        <v>118</v>
      </c>
      <c r="J5" s="626" t="s">
        <v>119</v>
      </c>
      <c r="K5" s="626" t="s">
        <v>118</v>
      </c>
      <c r="L5" s="627" t="s">
        <v>119</v>
      </c>
    </row>
    <row r="6" spans="1:12">
      <c r="A6" s="1473"/>
      <c r="B6" s="1474"/>
      <c r="C6" s="3"/>
      <c r="D6" s="3"/>
      <c r="E6" s="3"/>
      <c r="F6" s="3"/>
      <c r="G6" s="3"/>
      <c r="H6" s="3"/>
      <c r="I6" s="3"/>
      <c r="J6" s="3"/>
      <c r="K6" s="3"/>
      <c r="L6" s="30"/>
    </row>
    <row r="7" spans="1:12">
      <c r="A7" s="1470" t="s">
        <v>32</v>
      </c>
      <c r="B7" s="1471"/>
      <c r="C7" s="203"/>
      <c r="D7" s="203"/>
      <c r="E7" s="203"/>
      <c r="F7" s="203"/>
      <c r="G7" s="203"/>
      <c r="H7" s="203"/>
      <c r="I7" s="203"/>
      <c r="J7" s="203"/>
      <c r="K7" s="203"/>
      <c r="L7" s="212"/>
    </row>
    <row r="8" spans="1:12">
      <c r="A8" s="1390" t="s">
        <v>33</v>
      </c>
      <c r="B8" s="1391"/>
      <c r="C8" s="204"/>
      <c r="D8" s="204"/>
      <c r="E8" s="204"/>
      <c r="F8" s="204"/>
      <c r="G8" s="204"/>
      <c r="H8" s="204"/>
      <c r="I8" s="204"/>
      <c r="J8" s="204"/>
      <c r="K8" s="204"/>
      <c r="L8" s="213"/>
    </row>
    <row r="9" spans="1:12">
      <c r="A9" s="1386" t="s">
        <v>36</v>
      </c>
      <c r="B9" s="1387"/>
      <c r="C9" s="189">
        <f>D9</f>
        <v>265686.27339793002</v>
      </c>
      <c r="D9" s="189">
        <f>'03-APU-2014'!D129</f>
        <v>265686.27339793002</v>
      </c>
      <c r="E9" s="189">
        <f>F9</f>
        <v>265686.27339793002</v>
      </c>
      <c r="F9" s="189">
        <f>'03-APU-2014'!E129</f>
        <v>265686.27339793002</v>
      </c>
      <c r="G9" s="189">
        <f>H9</f>
        <v>265686.27339793002</v>
      </c>
      <c r="H9" s="189">
        <f>'03-APU-2014'!F129</f>
        <v>265686.27339793002</v>
      </c>
      <c r="I9" s="189">
        <f>J9</f>
        <v>265686.27339793002</v>
      </c>
      <c r="J9" s="189">
        <f>'03-APU-2014'!G129</f>
        <v>265686.27339793002</v>
      </c>
      <c r="K9" s="189">
        <f>L9</f>
        <v>265686.27339793002</v>
      </c>
      <c r="L9" s="214">
        <f>'03-APU-2014'!H129</f>
        <v>265686.27339793002</v>
      </c>
    </row>
    <row r="10" spans="1:12">
      <c r="A10" s="1386"/>
      <c r="B10" s="1387"/>
      <c r="C10" s="204"/>
      <c r="D10" s="204"/>
      <c r="E10" s="204"/>
      <c r="F10" s="204"/>
      <c r="G10" s="204"/>
      <c r="H10" s="204"/>
      <c r="I10" s="204"/>
      <c r="J10" s="204"/>
      <c r="K10" s="204"/>
      <c r="L10" s="213"/>
    </row>
    <row r="11" spans="1:12">
      <c r="A11" s="1390" t="s">
        <v>77</v>
      </c>
      <c r="B11" s="1391"/>
      <c r="C11" s="204"/>
      <c r="D11" s="204"/>
      <c r="E11" s="204"/>
      <c r="F11" s="204"/>
      <c r="G11" s="204"/>
      <c r="H11" s="204"/>
      <c r="I11" s="204"/>
      <c r="J11" s="204"/>
      <c r="K11" s="204"/>
      <c r="L11" s="213"/>
    </row>
    <row r="12" spans="1:12">
      <c r="A12" s="1386" t="s">
        <v>38</v>
      </c>
      <c r="B12" s="1387"/>
      <c r="C12" s="176">
        <f>D12</f>
        <v>474603.17987826344</v>
      </c>
      <c r="D12" s="176">
        <f>'03-APU-2014'!D144</f>
        <v>474603.17987826344</v>
      </c>
      <c r="E12" s="176">
        <f>F12</f>
        <v>474603.17987826344</v>
      </c>
      <c r="F12" s="176">
        <f>'03-APU-2014'!E144</f>
        <v>474603.17987826344</v>
      </c>
      <c r="G12" s="176">
        <f>'09-UC2.3-2-2014'!G19</f>
        <v>474603.17987826344</v>
      </c>
      <c r="H12" s="176">
        <f>I12</f>
        <v>474603.17987826344</v>
      </c>
      <c r="I12" s="176">
        <f>'09-UC2.3-2-2014'!I19</f>
        <v>474603.17987826344</v>
      </c>
      <c r="J12" s="176">
        <f>'03-APU-2014'!G144</f>
        <v>474603.17987826344</v>
      </c>
      <c r="K12" s="176">
        <f>L12</f>
        <v>474603.17987826344</v>
      </c>
      <c r="L12" s="177">
        <f>'03-APU-2014'!H144</f>
        <v>474603.17987826344</v>
      </c>
    </row>
    <row r="13" spans="1:12">
      <c r="A13" s="1386" t="s">
        <v>78</v>
      </c>
      <c r="B13" s="1387"/>
      <c r="C13" s="176">
        <f>D13</f>
        <v>740289.45327619347</v>
      </c>
      <c r="D13" s="176">
        <f>'03-APU-2014'!D160</f>
        <v>740289.45327619347</v>
      </c>
      <c r="E13" s="176">
        <f>F13</f>
        <v>740289.45327619347</v>
      </c>
      <c r="F13" s="176">
        <f>'03-APU-2014'!E160</f>
        <v>740289.45327619347</v>
      </c>
      <c r="G13" s="176">
        <f>'09-UC2.3-2-2014'!G20/2</f>
        <v>370144.72663809673</v>
      </c>
      <c r="H13" s="176">
        <f>'03-APU-2014'!F160</f>
        <v>740289.45327619347</v>
      </c>
      <c r="I13" s="176">
        <f>J13</f>
        <v>740289.45327619347</v>
      </c>
      <c r="J13" s="176">
        <f>'03-APU-2014'!G160</f>
        <v>740289.45327619347</v>
      </c>
      <c r="K13" s="176">
        <f>L13</f>
        <v>740289.45327619347</v>
      </c>
      <c r="L13" s="177">
        <f>'03-APU-2014'!H160</f>
        <v>740289.45327619347</v>
      </c>
    </row>
    <row r="14" spans="1:12">
      <c r="A14" s="1386" t="s">
        <v>40</v>
      </c>
      <c r="B14" s="1387"/>
      <c r="C14" s="176">
        <f>D14</f>
        <v>596995.36707874015</v>
      </c>
      <c r="D14" s="176">
        <f>'03-APU-2014'!D176</f>
        <v>596995.36707874015</v>
      </c>
      <c r="E14" s="176">
        <f>F14</f>
        <v>596995.36707874015</v>
      </c>
      <c r="F14" s="176">
        <f>'03-APU-2014'!E176</f>
        <v>596995.36707874015</v>
      </c>
      <c r="G14" s="176">
        <f>H14*1.1</f>
        <v>656694.90378661419</v>
      </c>
      <c r="H14" s="176">
        <f>'03-APU-2014'!F176</f>
        <v>596995.36707874015</v>
      </c>
      <c r="I14" s="176">
        <f>J14*1.1</f>
        <v>722364.39416527562</v>
      </c>
      <c r="J14" s="176">
        <f>G14</f>
        <v>656694.90378661419</v>
      </c>
      <c r="K14" s="176">
        <f>L14*1.1</f>
        <v>794600.83358180325</v>
      </c>
      <c r="L14" s="177">
        <f>I14</f>
        <v>722364.39416527562</v>
      </c>
    </row>
    <row r="15" spans="1:12">
      <c r="A15" s="1386"/>
      <c r="B15" s="1387"/>
      <c r="C15" s="204"/>
      <c r="D15" s="204"/>
      <c r="E15" s="204"/>
      <c r="F15" s="204"/>
      <c r="G15" s="204"/>
      <c r="H15" s="204"/>
      <c r="I15" s="204"/>
      <c r="J15" s="204"/>
      <c r="K15" s="204"/>
      <c r="L15" s="213"/>
    </row>
    <row r="16" spans="1:12">
      <c r="A16" s="1390" t="s">
        <v>441</v>
      </c>
      <c r="B16" s="1391"/>
      <c r="C16" s="176">
        <f>D16</f>
        <v>387280</v>
      </c>
      <c r="D16" s="176">
        <f>'03-APU-2014'!D203</f>
        <v>387280</v>
      </c>
      <c r="E16" s="176">
        <f>F16</f>
        <v>387280</v>
      </c>
      <c r="F16" s="176">
        <f>'03-APU-2014'!E203</f>
        <v>387280</v>
      </c>
      <c r="G16" s="176">
        <f>H16</f>
        <v>387280</v>
      </c>
      <c r="H16" s="176">
        <f>'03-APU-2014'!F203</f>
        <v>387280</v>
      </c>
      <c r="I16" s="176">
        <f>J16</f>
        <v>387280</v>
      </c>
      <c r="J16" s="176">
        <f>'03-APU-2014'!G203</f>
        <v>387280</v>
      </c>
      <c r="K16" s="176">
        <f>L16</f>
        <v>387280</v>
      </c>
      <c r="L16" s="177">
        <f>'03-APU-2014'!H203</f>
        <v>387280</v>
      </c>
    </row>
    <row r="17" spans="1:12">
      <c r="A17" s="1386"/>
      <c r="B17" s="1387"/>
      <c r="C17" s="204"/>
      <c r="D17" s="204"/>
      <c r="E17" s="204"/>
      <c r="F17" s="204"/>
      <c r="G17" s="204"/>
      <c r="H17" s="204"/>
      <c r="I17" s="204"/>
      <c r="J17" s="204"/>
      <c r="K17" s="204"/>
      <c r="L17" s="213"/>
    </row>
    <row r="18" spans="1:12" ht="39.75" customHeight="1">
      <c r="A18" s="1464" t="s">
        <v>605</v>
      </c>
      <c r="B18" s="1465"/>
      <c r="C18" s="674">
        <f>D18</f>
        <v>858196.00000000012</v>
      </c>
      <c r="D18" s="674">
        <f>'03-APU-2014'!D65-'03-APU-2014'!D62-((1/2)*'03-APU-2014'!D64)</f>
        <v>858196.00000000012</v>
      </c>
      <c r="E18" s="674">
        <f>F18</f>
        <v>858196.00000000012</v>
      </c>
      <c r="F18" s="674">
        <f>'03-APU-2014'!F65-'03-APU-2014'!F62-((1/2)*'03-APU-2014'!F64)</f>
        <v>858196.00000000012</v>
      </c>
      <c r="G18" s="674">
        <f>H18</f>
        <v>858196.00000000012</v>
      </c>
      <c r="H18" s="674">
        <f>'03-APU-2014'!H65-'03-APU-2014'!H62-((1/2)*'03-APU-2014'!H64)</f>
        <v>858196.00000000012</v>
      </c>
      <c r="I18" s="674">
        <f>J18</f>
        <v>2198996.3333333335</v>
      </c>
      <c r="J18" s="674">
        <f>'03-APU-2014'!G65</f>
        <v>2198996.3333333335</v>
      </c>
      <c r="K18" s="674">
        <f>L18</f>
        <v>2198996.3333333335</v>
      </c>
      <c r="L18" s="675">
        <f>'03-APU-2014'!H65</f>
        <v>2198996.3333333335</v>
      </c>
    </row>
    <row r="19" spans="1:12">
      <c r="A19" s="1386"/>
      <c r="B19" s="1387"/>
      <c r="C19" s="204"/>
      <c r="D19" s="204"/>
      <c r="E19" s="204"/>
      <c r="F19" s="204"/>
      <c r="G19" s="204"/>
      <c r="H19" s="204"/>
      <c r="I19" s="204"/>
      <c r="J19" s="204"/>
      <c r="K19" s="204"/>
      <c r="L19" s="213"/>
    </row>
    <row r="20" spans="1:12">
      <c r="A20" s="1386"/>
      <c r="B20" s="1387"/>
      <c r="C20" s="204"/>
      <c r="D20" s="204"/>
      <c r="E20" s="204"/>
      <c r="F20" s="204"/>
      <c r="G20" s="204"/>
      <c r="H20" s="204"/>
      <c r="I20" s="204"/>
      <c r="J20" s="204"/>
      <c r="K20" s="204"/>
      <c r="L20" s="213"/>
    </row>
    <row r="21" spans="1:12">
      <c r="A21" s="1413" t="s">
        <v>12</v>
      </c>
      <c r="B21" s="1414"/>
      <c r="C21" s="205">
        <f>SUM(C9:C20)</f>
        <v>3323050.2736311271</v>
      </c>
      <c r="D21" s="205">
        <f t="shared" ref="D21:L21" si="0">SUM(D9:D20)</f>
        <v>3323050.2736311271</v>
      </c>
      <c r="E21" s="205">
        <f t="shared" si="0"/>
        <v>3323050.2736311271</v>
      </c>
      <c r="F21" s="205">
        <f t="shared" si="0"/>
        <v>3323050.2736311271</v>
      </c>
      <c r="G21" s="205">
        <f t="shared" si="0"/>
        <v>3012605.0837009042</v>
      </c>
      <c r="H21" s="205">
        <f t="shared" si="0"/>
        <v>3323050.2736311271</v>
      </c>
      <c r="I21" s="205">
        <f t="shared" si="0"/>
        <v>4789219.634050996</v>
      </c>
      <c r="J21" s="205">
        <f t="shared" si="0"/>
        <v>4723550.143672334</v>
      </c>
      <c r="K21" s="205">
        <f t="shared" si="0"/>
        <v>4861456.0734675238</v>
      </c>
      <c r="L21" s="215">
        <f t="shared" si="0"/>
        <v>4789219.634050996</v>
      </c>
    </row>
    <row r="22" spans="1:12">
      <c r="A22" s="1390" t="s">
        <v>47</v>
      </c>
      <c r="B22" s="1391"/>
      <c r="C22" s="204"/>
      <c r="D22" s="204"/>
      <c r="E22" s="204"/>
      <c r="F22" s="204"/>
      <c r="G22" s="204"/>
      <c r="H22" s="204"/>
      <c r="I22" s="204"/>
      <c r="J22" s="204"/>
      <c r="K22" s="204"/>
      <c r="L22" s="213"/>
    </row>
    <row r="23" spans="1:12">
      <c r="A23" s="1386" t="s">
        <v>109</v>
      </c>
      <c r="B23" s="1387"/>
      <c r="C23" s="189">
        <f>D23</f>
        <v>188506</v>
      </c>
      <c r="D23" s="189">
        <f>'03-APU-2014'!D220</f>
        <v>188506</v>
      </c>
      <c r="E23" s="189">
        <f>F23</f>
        <v>188506</v>
      </c>
      <c r="F23" s="189">
        <f>'03-APU-2014'!E220</f>
        <v>188506</v>
      </c>
      <c r="G23" s="189">
        <f>H23</f>
        <v>188506</v>
      </c>
      <c r="H23" s="189">
        <f>'03-APU-2014'!F220</f>
        <v>188506</v>
      </c>
      <c r="I23" s="189">
        <f>J23</f>
        <v>408576.75876240002</v>
      </c>
      <c r="J23" s="189">
        <f>'03-APU-2014'!G220</f>
        <v>408576.75876240002</v>
      </c>
      <c r="K23" s="189">
        <f>L23</f>
        <v>672573.48968221399</v>
      </c>
      <c r="L23" s="214">
        <f>'03-APU-2014'!H220</f>
        <v>672573.48968221399</v>
      </c>
    </row>
    <row r="24" spans="1:12">
      <c r="A24" s="1386"/>
      <c r="B24" s="1387"/>
      <c r="C24" s="204"/>
      <c r="D24" s="204"/>
      <c r="E24" s="204"/>
      <c r="F24" s="204"/>
      <c r="G24" s="204"/>
      <c r="H24" s="204"/>
      <c r="I24" s="204"/>
      <c r="J24" s="204"/>
      <c r="K24" s="204"/>
      <c r="L24" s="213"/>
    </row>
    <row r="25" spans="1:12">
      <c r="A25" s="1413" t="s">
        <v>46</v>
      </c>
      <c r="B25" s="1414"/>
      <c r="C25" s="207">
        <f>C23</f>
        <v>188506</v>
      </c>
      <c r="D25" s="207">
        <f t="shared" ref="D25:L25" si="1">D23</f>
        <v>188506</v>
      </c>
      <c r="E25" s="207">
        <f t="shared" si="1"/>
        <v>188506</v>
      </c>
      <c r="F25" s="207">
        <f t="shared" si="1"/>
        <v>188506</v>
      </c>
      <c r="G25" s="207">
        <f t="shared" si="1"/>
        <v>188506</v>
      </c>
      <c r="H25" s="207">
        <f t="shared" si="1"/>
        <v>188506</v>
      </c>
      <c r="I25" s="207">
        <f t="shared" si="1"/>
        <v>408576.75876240002</v>
      </c>
      <c r="J25" s="207">
        <f t="shared" si="1"/>
        <v>408576.75876240002</v>
      </c>
      <c r="K25" s="207">
        <f t="shared" si="1"/>
        <v>672573.48968221399</v>
      </c>
      <c r="L25" s="216">
        <f t="shared" si="1"/>
        <v>672573.48968221399</v>
      </c>
    </row>
    <row r="26" spans="1:12">
      <c r="A26" s="1390" t="s">
        <v>57</v>
      </c>
      <c r="B26" s="1391"/>
      <c r="C26" s="204"/>
      <c r="D26" s="204"/>
      <c r="E26" s="204"/>
      <c r="F26" s="204"/>
      <c r="G26" s="204"/>
      <c r="H26" s="204"/>
      <c r="I26" s="204"/>
      <c r="J26" s="204"/>
      <c r="K26" s="204"/>
      <c r="L26" s="213"/>
    </row>
    <row r="27" spans="1:12">
      <c r="A27" s="1386" t="s">
        <v>110</v>
      </c>
      <c r="B27" s="1387"/>
      <c r="C27" s="189">
        <f>D27*1.15</f>
        <v>1502302.8176903317</v>
      </c>
      <c r="D27" s="217">
        <f>'03-APU-2014'!D13</f>
        <v>1306350.2762524625</v>
      </c>
      <c r="E27" s="189">
        <f>F27*1.15</f>
        <v>1502302.8176903317</v>
      </c>
      <c r="F27" s="217">
        <f>'03-APU-2014'!E13</f>
        <v>1306350.2762524625</v>
      </c>
      <c r="G27" s="189">
        <f>H27*1.15</f>
        <v>1502302.8176903317</v>
      </c>
      <c r="H27" s="217">
        <f>'03-APU-2014'!F13</f>
        <v>1306350.2762524625</v>
      </c>
      <c r="I27" s="189">
        <f>J27*1.15</f>
        <v>1502302.8176903317</v>
      </c>
      <c r="J27" s="217">
        <f>'03-APU-2014'!G13</f>
        <v>1306350.2762524625</v>
      </c>
      <c r="K27" s="189">
        <f>L27*1.15</f>
        <v>1502302.8176903317</v>
      </c>
      <c r="L27" s="218">
        <f>'03-APU-2014'!H13</f>
        <v>1306350.2762524625</v>
      </c>
    </row>
    <row r="28" spans="1:12">
      <c r="A28" s="1386"/>
      <c r="B28" s="1387"/>
      <c r="C28" s="204"/>
      <c r="D28" s="204"/>
      <c r="E28" s="204"/>
      <c r="F28" s="204"/>
      <c r="G28" s="204"/>
      <c r="H28" s="204"/>
      <c r="I28" s="204"/>
      <c r="J28" s="204"/>
      <c r="K28" s="204"/>
      <c r="L28" s="213"/>
    </row>
    <row r="29" spans="1:12">
      <c r="A29" s="1413" t="s">
        <v>46</v>
      </c>
      <c r="B29" s="1414"/>
      <c r="C29" s="205">
        <f>C27</f>
        <v>1502302.8176903317</v>
      </c>
      <c r="D29" s="205">
        <f t="shared" ref="D29:L29" si="2">D27</f>
        <v>1306350.2762524625</v>
      </c>
      <c r="E29" s="205">
        <f t="shared" si="2"/>
        <v>1502302.8176903317</v>
      </c>
      <c r="F29" s="205">
        <f t="shared" si="2"/>
        <v>1306350.2762524625</v>
      </c>
      <c r="G29" s="205">
        <f t="shared" si="2"/>
        <v>1502302.8176903317</v>
      </c>
      <c r="H29" s="205">
        <f t="shared" si="2"/>
        <v>1306350.2762524625</v>
      </c>
      <c r="I29" s="205">
        <f t="shared" si="2"/>
        <v>1502302.8176903317</v>
      </c>
      <c r="J29" s="205">
        <f t="shared" si="2"/>
        <v>1306350.2762524625</v>
      </c>
      <c r="K29" s="205">
        <f t="shared" si="2"/>
        <v>1502302.8176903317</v>
      </c>
      <c r="L29" s="215">
        <f t="shared" si="2"/>
        <v>1306350.2762524625</v>
      </c>
    </row>
    <row r="30" spans="1:12">
      <c r="A30" s="1390" t="s">
        <v>111</v>
      </c>
      <c r="B30" s="1391"/>
      <c r="C30" s="204"/>
      <c r="D30" s="204"/>
      <c r="E30" s="204"/>
      <c r="F30" s="204"/>
      <c r="G30" s="204"/>
      <c r="H30" s="204"/>
      <c r="I30" s="204"/>
      <c r="J30" s="204"/>
      <c r="K30" s="204"/>
      <c r="L30" s="213"/>
    </row>
    <row r="31" spans="1:12">
      <c r="A31" s="1386" t="s">
        <v>112</v>
      </c>
      <c r="B31" s="1387"/>
      <c r="C31" s="204"/>
      <c r="D31" s="204"/>
      <c r="E31" s="204"/>
      <c r="F31" s="204"/>
      <c r="G31" s="204"/>
      <c r="H31" s="204"/>
      <c r="I31" s="176">
        <f>J31</f>
        <v>400989</v>
      </c>
      <c r="J31" s="176">
        <f>'03-APU-2014'!G354</f>
        <v>400989</v>
      </c>
      <c r="K31" s="176">
        <f>L31</f>
        <v>400989</v>
      </c>
      <c r="L31" s="176">
        <f>'03-APU-2014'!H354</f>
        <v>400989</v>
      </c>
    </row>
    <row r="32" spans="1:12">
      <c r="A32" s="1386"/>
      <c r="B32" s="1387"/>
      <c r="C32" s="204"/>
      <c r="D32" s="204"/>
      <c r="E32" s="204"/>
      <c r="F32" s="204"/>
      <c r="G32" s="204"/>
      <c r="H32" s="204"/>
      <c r="I32" s="204"/>
      <c r="J32" s="204"/>
      <c r="K32" s="204"/>
      <c r="L32" s="213"/>
    </row>
    <row r="33" spans="1:13">
      <c r="A33" s="1386" t="s">
        <v>113</v>
      </c>
      <c r="B33" s="1387"/>
      <c r="C33" s="217">
        <f>D33</f>
        <v>294598.55842976557</v>
      </c>
      <c r="D33" s="189">
        <f>'03-APU-2014'!D389</f>
        <v>294598.55842976557</v>
      </c>
      <c r="E33" s="217">
        <f>F33*1.03</f>
        <v>333779.61205856502</v>
      </c>
      <c r="F33" s="189">
        <f>'03-APU-2014'!E389</f>
        <v>324057.87578501459</v>
      </c>
      <c r="G33" s="217">
        <f>H33*1.03</f>
        <v>364124.09554036998</v>
      </c>
      <c r="H33" s="189">
        <f>'03-APU-2014'!F389</f>
        <v>353518.53935958247</v>
      </c>
      <c r="I33" s="217">
        <f>J33*1.03</f>
        <v>394467.19241627638</v>
      </c>
      <c r="J33" s="189">
        <f>'03-APU-2014'!G389</f>
        <v>382977.85671483143</v>
      </c>
      <c r="K33" s="217">
        <f>L33*1.03</f>
        <v>424717.38669698633</v>
      </c>
      <c r="L33" s="214">
        <f>'03-APU-2014'!H389</f>
        <v>412346.97737571487</v>
      </c>
    </row>
    <row r="34" spans="1:13">
      <c r="A34" s="1386"/>
      <c r="B34" s="1387"/>
      <c r="C34" s="204"/>
      <c r="D34" s="204"/>
      <c r="E34" s="204"/>
      <c r="F34" s="204"/>
      <c r="G34" s="204"/>
      <c r="H34" s="204"/>
      <c r="I34" s="204"/>
      <c r="J34" s="204"/>
      <c r="K34" s="204"/>
      <c r="L34" s="213"/>
    </row>
    <row r="35" spans="1:13">
      <c r="A35" s="1413" t="s">
        <v>46</v>
      </c>
      <c r="B35" s="1414"/>
      <c r="C35" s="205">
        <f>SUM(C33:C34)</f>
        <v>294598.55842976557</v>
      </c>
      <c r="D35" s="205">
        <f t="shared" ref="D35:L35" si="3">SUM(D33:D34)</f>
        <v>294598.55842976557</v>
      </c>
      <c r="E35" s="205">
        <f t="shared" si="3"/>
        <v>333779.61205856502</v>
      </c>
      <c r="F35" s="205">
        <f t="shared" si="3"/>
        <v>324057.87578501459</v>
      </c>
      <c r="G35" s="205">
        <f t="shared" si="3"/>
        <v>364124.09554036998</v>
      </c>
      <c r="H35" s="205">
        <f t="shared" si="3"/>
        <v>353518.53935958247</v>
      </c>
      <c r="I35" s="205">
        <f t="shared" si="3"/>
        <v>394467.19241627638</v>
      </c>
      <c r="J35" s="205">
        <f t="shared" si="3"/>
        <v>382977.85671483143</v>
      </c>
      <c r="K35" s="205">
        <f t="shared" si="3"/>
        <v>424717.38669698633</v>
      </c>
      <c r="L35" s="215">
        <f t="shared" si="3"/>
        <v>412346.97737571487</v>
      </c>
    </row>
    <row r="36" spans="1:13">
      <c r="A36" s="1386"/>
      <c r="B36" s="1387"/>
      <c r="C36" s="204"/>
      <c r="D36" s="204"/>
      <c r="E36" s="204"/>
      <c r="F36" s="204"/>
      <c r="G36" s="204"/>
      <c r="H36" s="204"/>
      <c r="I36" s="204"/>
      <c r="J36" s="204"/>
      <c r="K36" s="204"/>
      <c r="L36" s="213"/>
    </row>
    <row r="37" spans="1:13">
      <c r="A37" s="1390" t="s">
        <v>62</v>
      </c>
      <c r="B37" s="1391"/>
      <c r="C37" s="176"/>
      <c r="D37" s="176"/>
      <c r="E37" s="176"/>
      <c r="F37" s="176"/>
      <c r="G37" s="176"/>
      <c r="H37" s="176"/>
      <c r="I37" s="176"/>
      <c r="J37" s="176"/>
      <c r="K37" s="176"/>
      <c r="L37" s="177"/>
    </row>
    <row r="38" spans="1:13">
      <c r="A38" s="1390" t="s">
        <v>114</v>
      </c>
      <c r="B38" s="1391"/>
      <c r="C38" s="176"/>
      <c r="D38" s="176"/>
      <c r="E38" s="176"/>
      <c r="F38" s="176"/>
      <c r="G38" s="176"/>
      <c r="H38" s="176"/>
      <c r="I38" s="176"/>
      <c r="J38" s="176"/>
      <c r="K38" s="176"/>
      <c r="L38" s="177"/>
    </row>
    <row r="39" spans="1:13">
      <c r="A39" s="1386" t="s">
        <v>115</v>
      </c>
      <c r="B39" s="1387"/>
      <c r="C39" s="176">
        <f>D39*1.15</f>
        <v>4850026.8581853993</v>
      </c>
      <c r="D39" s="176">
        <f>'03-APU-2014'!D292</f>
        <v>4217414.659291652</v>
      </c>
      <c r="E39" s="176">
        <f>F39*1.15</f>
        <v>5471044.1394931925</v>
      </c>
      <c r="F39" s="176">
        <f>'03-APU-2014'!E292</f>
        <v>4757429.6865158202</v>
      </c>
      <c r="G39" s="176">
        <f>H39*1.15</f>
        <v>8181954.6687651593</v>
      </c>
      <c r="H39" s="176">
        <f>'03-APU-2014'!F292</f>
        <v>7114743.1902305735</v>
      </c>
      <c r="I39" s="176">
        <f>J39*1.15</f>
        <v>14577635.910207583</v>
      </c>
      <c r="J39" s="176">
        <f>'03-APU-2014'!G292</f>
        <v>12676205.139310943</v>
      </c>
      <c r="K39" s="176">
        <f>L39*1.15</f>
        <v>18906566.290483441</v>
      </c>
      <c r="L39" s="177">
        <f>'03-APU-2014'!H292</f>
        <v>16440492.426507341</v>
      </c>
    </row>
    <row r="40" spans="1:13">
      <c r="A40" s="1390"/>
      <c r="B40" s="1391"/>
      <c r="C40" s="204"/>
      <c r="D40" s="204"/>
      <c r="E40" s="204"/>
      <c r="F40" s="204"/>
      <c r="G40" s="204"/>
      <c r="H40" s="204"/>
      <c r="I40" s="204"/>
      <c r="J40" s="204"/>
      <c r="K40" s="204"/>
      <c r="L40" s="213"/>
    </row>
    <row r="41" spans="1:13">
      <c r="A41" s="1413" t="s">
        <v>12</v>
      </c>
      <c r="B41" s="1414"/>
      <c r="C41" s="205">
        <f>SUM(C39:C40)</f>
        <v>4850026.8581853993</v>
      </c>
      <c r="D41" s="205">
        <f t="shared" ref="D41:L41" si="4">SUM(D39:D40)</f>
        <v>4217414.659291652</v>
      </c>
      <c r="E41" s="205">
        <f t="shared" si="4"/>
        <v>5471044.1394931925</v>
      </c>
      <c r="F41" s="205">
        <f t="shared" si="4"/>
        <v>4757429.6865158202</v>
      </c>
      <c r="G41" s="205">
        <f t="shared" si="4"/>
        <v>8181954.6687651593</v>
      </c>
      <c r="H41" s="205">
        <f t="shared" si="4"/>
        <v>7114743.1902305735</v>
      </c>
      <c r="I41" s="205">
        <f t="shared" si="4"/>
        <v>14577635.910207583</v>
      </c>
      <c r="J41" s="205">
        <f t="shared" si="4"/>
        <v>12676205.139310943</v>
      </c>
      <c r="K41" s="205">
        <f t="shared" si="4"/>
        <v>18906566.290483441</v>
      </c>
      <c r="L41" s="215">
        <f t="shared" si="4"/>
        <v>16440492.426507341</v>
      </c>
      <c r="M41" s="25"/>
    </row>
    <row r="42" spans="1:13">
      <c r="A42" s="1386"/>
      <c r="B42" s="1387"/>
      <c r="C42" s="204"/>
      <c r="D42" s="204"/>
      <c r="E42" s="204"/>
      <c r="F42" s="204"/>
      <c r="G42" s="204"/>
      <c r="H42" s="204"/>
      <c r="I42" s="204"/>
      <c r="J42" s="204"/>
      <c r="K42" s="204"/>
      <c r="L42" s="213"/>
    </row>
    <row r="43" spans="1:13" ht="18.75">
      <c r="A43" s="1487" t="s">
        <v>106</v>
      </c>
      <c r="B43" s="1488"/>
      <c r="C43" s="318">
        <f>SUM(C21,C25,C29,C35,C41)</f>
        <v>10158484.507936623</v>
      </c>
      <c r="D43" s="318">
        <f t="shared" ref="D43:L43" si="5">SUM(D21,D25,D29,D35,D41)</f>
        <v>9329919.7676050067</v>
      </c>
      <c r="E43" s="318">
        <f t="shared" si="5"/>
        <v>10818682.842873216</v>
      </c>
      <c r="F43" s="318">
        <f t="shared" si="5"/>
        <v>9899394.112184424</v>
      </c>
      <c r="G43" s="318">
        <f t="shared" si="5"/>
        <v>13249492.665696766</v>
      </c>
      <c r="H43" s="318">
        <f t="shared" si="5"/>
        <v>12286168.279473744</v>
      </c>
      <c r="I43" s="318">
        <f t="shared" si="5"/>
        <v>21672202.313127585</v>
      </c>
      <c r="J43" s="318">
        <f t="shared" si="5"/>
        <v>19497660.174712971</v>
      </c>
      <c r="K43" s="318">
        <f t="shared" si="5"/>
        <v>26367616.058020495</v>
      </c>
      <c r="L43" s="319">
        <f t="shared" si="5"/>
        <v>23620982.80386873</v>
      </c>
    </row>
    <row r="44" spans="1:13">
      <c r="A44" s="1386"/>
      <c r="B44" s="1387"/>
      <c r="C44" s="206"/>
      <c r="D44" s="206"/>
      <c r="E44" s="206"/>
      <c r="F44" s="206"/>
      <c r="G44" s="206"/>
      <c r="H44" s="206"/>
      <c r="I44" s="206"/>
      <c r="J44" s="206"/>
      <c r="K44" s="206"/>
      <c r="L44" s="218"/>
    </row>
    <row r="45" spans="1:13">
      <c r="A45" s="262" t="s">
        <v>365</v>
      </c>
      <c r="B45" s="255">
        <v>0.1</v>
      </c>
      <c r="C45" s="206">
        <f t="shared" ref="C45:L45" si="6">C43*$B$45</f>
        <v>1015848.4507936623</v>
      </c>
      <c r="D45" s="206">
        <f t="shared" si="6"/>
        <v>932991.97676050069</v>
      </c>
      <c r="E45" s="206">
        <f t="shared" si="6"/>
        <v>1081868.2842873216</v>
      </c>
      <c r="F45" s="206">
        <f t="shared" si="6"/>
        <v>989939.41121844249</v>
      </c>
      <c r="G45" s="206">
        <f t="shared" si="6"/>
        <v>1324949.2665696768</v>
      </c>
      <c r="H45" s="206">
        <f t="shared" si="6"/>
        <v>1228616.8279473744</v>
      </c>
      <c r="I45" s="206">
        <f t="shared" si="6"/>
        <v>2167220.2313127588</v>
      </c>
      <c r="J45" s="206">
        <f t="shared" si="6"/>
        <v>1949766.0174712972</v>
      </c>
      <c r="K45" s="206">
        <f t="shared" si="6"/>
        <v>2636761.6058020499</v>
      </c>
      <c r="L45" s="218">
        <f t="shared" si="6"/>
        <v>2362098.2803868731</v>
      </c>
    </row>
    <row r="46" spans="1:13" s="57" customFormat="1">
      <c r="A46" s="262" t="s">
        <v>439</v>
      </c>
      <c r="B46" s="255">
        <v>0.1</v>
      </c>
      <c r="C46" s="206">
        <f t="shared" ref="C46:L46" si="7">C43*$B$46</f>
        <v>1015848.4507936623</v>
      </c>
      <c r="D46" s="206">
        <f t="shared" si="7"/>
        <v>932991.97676050069</v>
      </c>
      <c r="E46" s="206">
        <f t="shared" si="7"/>
        <v>1081868.2842873216</v>
      </c>
      <c r="F46" s="206">
        <f t="shared" si="7"/>
        <v>989939.41121844249</v>
      </c>
      <c r="G46" s="206">
        <f t="shared" si="7"/>
        <v>1324949.2665696768</v>
      </c>
      <c r="H46" s="206">
        <f t="shared" si="7"/>
        <v>1228616.8279473744</v>
      </c>
      <c r="I46" s="206">
        <f t="shared" si="7"/>
        <v>2167220.2313127588</v>
      </c>
      <c r="J46" s="206">
        <f t="shared" si="7"/>
        <v>1949766.0174712972</v>
      </c>
      <c r="K46" s="206">
        <f t="shared" si="7"/>
        <v>2636761.6058020499</v>
      </c>
      <c r="L46" s="218">
        <f t="shared" si="7"/>
        <v>2362098.2803868731</v>
      </c>
    </row>
    <row r="47" spans="1:13">
      <c r="A47" s="262" t="s">
        <v>440</v>
      </c>
      <c r="B47" s="255">
        <v>0.05</v>
      </c>
      <c r="C47" s="206">
        <f t="shared" ref="C47:L47" si="8">C43*$B$47</f>
        <v>507924.22539683117</v>
      </c>
      <c r="D47" s="206">
        <f t="shared" si="8"/>
        <v>466495.98838025035</v>
      </c>
      <c r="E47" s="206">
        <f t="shared" si="8"/>
        <v>540934.14214366081</v>
      </c>
      <c r="F47" s="206">
        <f t="shared" si="8"/>
        <v>494969.70560922124</v>
      </c>
      <c r="G47" s="206">
        <f t="shared" si="8"/>
        <v>662474.6332848384</v>
      </c>
      <c r="H47" s="206">
        <f t="shared" si="8"/>
        <v>614308.41397368722</v>
      </c>
      <c r="I47" s="206">
        <f t="shared" si="8"/>
        <v>1083610.1156563794</v>
      </c>
      <c r="J47" s="206">
        <f t="shared" si="8"/>
        <v>974883.00873564859</v>
      </c>
      <c r="K47" s="206">
        <f t="shared" si="8"/>
        <v>1318380.8029010249</v>
      </c>
      <c r="L47" s="218">
        <f t="shared" si="8"/>
        <v>1181049.1401934365</v>
      </c>
    </row>
    <row r="48" spans="1:13">
      <c r="A48" s="262" t="s">
        <v>445</v>
      </c>
      <c r="B48" s="255">
        <v>0.16</v>
      </c>
      <c r="C48" s="206">
        <f t="shared" ref="C48:L48" si="9">C47*$B$48</f>
        <v>81267.876063492993</v>
      </c>
      <c r="D48" s="206">
        <f t="shared" si="9"/>
        <v>74639.358140840064</v>
      </c>
      <c r="E48" s="206">
        <f t="shared" si="9"/>
        <v>86549.462742985736</v>
      </c>
      <c r="F48" s="206">
        <f t="shared" si="9"/>
        <v>79195.152897475404</v>
      </c>
      <c r="G48" s="206">
        <f t="shared" si="9"/>
        <v>105995.94132557415</v>
      </c>
      <c r="H48" s="206">
        <f t="shared" si="9"/>
        <v>98289.346235789955</v>
      </c>
      <c r="I48" s="206">
        <f t="shared" si="9"/>
        <v>173377.61850502071</v>
      </c>
      <c r="J48" s="206">
        <f t="shared" si="9"/>
        <v>155981.28139770377</v>
      </c>
      <c r="K48" s="206">
        <f t="shared" si="9"/>
        <v>210940.928464164</v>
      </c>
      <c r="L48" s="218">
        <f t="shared" si="9"/>
        <v>188967.86243094984</v>
      </c>
    </row>
    <row r="49" spans="1:18" ht="15.75" thickBot="1">
      <c r="A49" s="1491"/>
      <c r="B49" s="1492"/>
      <c r="C49" s="678"/>
      <c r="D49" s="678"/>
      <c r="E49" s="678"/>
      <c r="F49" s="678"/>
      <c r="G49" s="678"/>
      <c r="H49" s="678"/>
      <c r="I49" s="678"/>
      <c r="J49" s="678"/>
      <c r="K49" s="678"/>
      <c r="L49" s="679"/>
    </row>
    <row r="50" spans="1:18" ht="16.5" thickBot="1">
      <c r="A50" s="1489" t="s">
        <v>603</v>
      </c>
      <c r="B50" s="1490"/>
      <c r="C50" s="264">
        <f t="shared" ref="C50:L50" si="10">SUM(C43,C45:C48)</f>
        <v>12779373.510984272</v>
      </c>
      <c r="D50" s="264">
        <f t="shared" si="10"/>
        <v>11737039.067647098</v>
      </c>
      <c r="E50" s="264">
        <f t="shared" si="10"/>
        <v>13609903.016334508</v>
      </c>
      <c r="F50" s="264">
        <f t="shared" si="10"/>
        <v>12453437.793128004</v>
      </c>
      <c r="G50" s="264">
        <f t="shared" si="10"/>
        <v>16667861.773446534</v>
      </c>
      <c r="H50" s="264">
        <f t="shared" si="10"/>
        <v>15455999.69557797</v>
      </c>
      <c r="I50" s="264">
        <f t="shared" si="10"/>
        <v>27263630.509914503</v>
      </c>
      <c r="J50" s="264">
        <f t="shared" si="10"/>
        <v>24528056.499788921</v>
      </c>
      <c r="K50" s="264">
        <f t="shared" si="10"/>
        <v>33170461.000989787</v>
      </c>
      <c r="L50" s="264">
        <f t="shared" si="10"/>
        <v>29715196.36726686</v>
      </c>
    </row>
    <row r="51" spans="1:18" s="25" customFormat="1">
      <c r="A51" s="1493"/>
      <c r="B51" s="1494"/>
      <c r="C51" s="813"/>
      <c r="D51" s="813"/>
      <c r="E51" s="813"/>
      <c r="F51" s="813"/>
      <c r="G51" s="209"/>
      <c r="H51" s="209"/>
      <c r="I51" s="209"/>
      <c r="J51" s="209"/>
      <c r="K51" s="209"/>
      <c r="L51" s="220"/>
    </row>
    <row r="52" spans="1:18">
      <c r="A52" s="1390" t="s">
        <v>107</v>
      </c>
      <c r="B52" s="1391"/>
      <c r="C52" s="204"/>
      <c r="D52" s="204"/>
      <c r="E52" s="204"/>
      <c r="F52" s="204"/>
      <c r="G52" s="204"/>
      <c r="H52" s="204"/>
      <c r="I52" s="204"/>
      <c r="J52" s="204"/>
      <c r="K52" s="204"/>
      <c r="L52" s="213"/>
    </row>
    <row r="53" spans="1:18">
      <c r="A53" s="1386" t="s">
        <v>108</v>
      </c>
      <c r="B53" s="1387"/>
      <c r="C53" s="210">
        <f>D53</f>
        <v>2306729.3020652356</v>
      </c>
      <c r="D53" s="210">
        <f>'03-APU-2014'!D380</f>
        <v>2306729.3020652356</v>
      </c>
      <c r="E53" s="210">
        <f>F53</f>
        <v>2306726.6096265977</v>
      </c>
      <c r="F53" s="208">
        <f>'03-APU-2014'!E380</f>
        <v>2306726.6096265977</v>
      </c>
      <c r="G53" s="210">
        <f>H53</f>
        <v>2739556.3139392091</v>
      </c>
      <c r="H53" s="210">
        <f>'03-APU-2014'!F380</f>
        <v>2739556.3139392091</v>
      </c>
      <c r="I53" s="210">
        <f>J53</f>
        <v>3091933.2593163736</v>
      </c>
      <c r="J53" s="208">
        <f>'03-APU-2014'!G380</f>
        <v>3091933.2593163736</v>
      </c>
      <c r="K53" s="210">
        <f>L53</f>
        <v>3819088.2395370165</v>
      </c>
      <c r="L53" s="219">
        <f>'03-APU-2014'!H380</f>
        <v>3819088.2395370165</v>
      </c>
    </row>
    <row r="54" spans="1:18">
      <c r="A54" s="1386" t="s">
        <v>116</v>
      </c>
      <c r="B54" s="1387"/>
      <c r="C54" s="210">
        <f>D54</f>
        <v>16527160.329030171</v>
      </c>
      <c r="D54" s="211">
        <f>'03-APU-2014'!D383</f>
        <v>16527160.329030171</v>
      </c>
      <c r="E54" s="210">
        <f>F54</f>
        <v>16527160.329030171</v>
      </c>
      <c r="F54" s="211">
        <f>'03-APU-2014'!E383</f>
        <v>16527160.329030171</v>
      </c>
      <c r="G54" s="210">
        <f>H54</f>
        <v>19628282.881417282</v>
      </c>
      <c r="H54" s="211">
        <f>'03-APU-2014'!F383</f>
        <v>19628282.881417282</v>
      </c>
      <c r="I54" s="210">
        <f>J54</f>
        <v>22145664.543844316</v>
      </c>
      <c r="J54" s="211">
        <f>'03-APU-2014'!G383</f>
        <v>22145664.543844316</v>
      </c>
      <c r="K54" s="210">
        <f>L54</f>
        <v>27362847.317504451</v>
      </c>
      <c r="L54" s="221">
        <f>'03-APU-2014'!H383</f>
        <v>27362847.317504451</v>
      </c>
    </row>
    <row r="55" spans="1:18">
      <c r="A55" s="1447" t="s">
        <v>117</v>
      </c>
      <c r="B55" s="1448"/>
      <c r="C55" s="217">
        <f>D55</f>
        <v>1346219.3188890463</v>
      </c>
      <c r="D55" s="811">
        <f>'03-APU-2014'!D386</f>
        <v>1346219.3188890463</v>
      </c>
      <c r="E55" s="217">
        <f>F55</f>
        <v>1346219.3188890463</v>
      </c>
      <c r="F55" s="811">
        <f>'03-APU-2014'!E386</f>
        <v>1346219.3188890463</v>
      </c>
      <c r="G55" s="217">
        <f>H55</f>
        <v>1346219.3188890463</v>
      </c>
      <c r="H55" s="811">
        <f>'03-APU-2014'!F386</f>
        <v>1346219.3188890463</v>
      </c>
      <c r="I55" s="217">
        <f>J55</f>
        <v>1346219.3188890463</v>
      </c>
      <c r="J55" s="811">
        <f>'03-APU-2014'!G386</f>
        <v>1346219.3188890463</v>
      </c>
      <c r="K55" s="217">
        <f>L55</f>
        <v>1615463.1826668556</v>
      </c>
      <c r="L55" s="812">
        <f>'03-APU-2014'!H386*1.2</f>
        <v>1615463.1826668556</v>
      </c>
    </row>
    <row r="56" spans="1:18" s="57" customFormat="1">
      <c r="A56" s="262" t="s">
        <v>365</v>
      </c>
      <c r="B56" s="255">
        <v>0.1</v>
      </c>
      <c r="C56" s="189">
        <f>SUM(C53:C55)*$B$56</f>
        <v>2018010.8949984454</v>
      </c>
      <c r="D56" s="189">
        <f t="shared" ref="D56:L56" si="11">SUM(D53:D55)*$B$56</f>
        <v>2018010.8949984454</v>
      </c>
      <c r="E56" s="189">
        <f t="shared" si="11"/>
        <v>2018010.6257545818</v>
      </c>
      <c r="F56" s="189">
        <f t="shared" si="11"/>
        <v>2018010.6257545818</v>
      </c>
      <c r="G56" s="189">
        <f t="shared" si="11"/>
        <v>2371405.8514245539</v>
      </c>
      <c r="H56" s="189">
        <f t="shared" si="11"/>
        <v>2371405.8514245539</v>
      </c>
      <c r="I56" s="189">
        <f t="shared" si="11"/>
        <v>2658381.7122049741</v>
      </c>
      <c r="J56" s="189">
        <f t="shared" si="11"/>
        <v>2658381.7122049741</v>
      </c>
      <c r="K56" s="189">
        <f t="shared" si="11"/>
        <v>3279739.8739708327</v>
      </c>
      <c r="L56" s="189">
        <f t="shared" si="11"/>
        <v>3279739.8739708327</v>
      </c>
    </row>
    <row r="57" spans="1:18" s="57" customFormat="1">
      <c r="A57" s="262" t="s">
        <v>439</v>
      </c>
      <c r="B57" s="255">
        <v>0.1</v>
      </c>
      <c r="C57" s="211">
        <f>SUM(C53:C55)*$B$57</f>
        <v>2018010.8949984454</v>
      </c>
      <c r="D57" s="211">
        <f t="shared" ref="D57:L57" si="12">SUM(D53:D55)*$B$57</f>
        <v>2018010.8949984454</v>
      </c>
      <c r="E57" s="211">
        <f t="shared" si="12"/>
        <v>2018010.6257545818</v>
      </c>
      <c r="F57" s="211">
        <f t="shared" si="12"/>
        <v>2018010.6257545818</v>
      </c>
      <c r="G57" s="211">
        <f t="shared" si="12"/>
        <v>2371405.8514245539</v>
      </c>
      <c r="H57" s="211">
        <f t="shared" si="12"/>
        <v>2371405.8514245539</v>
      </c>
      <c r="I57" s="211">
        <f t="shared" si="12"/>
        <v>2658381.7122049741</v>
      </c>
      <c r="J57" s="211">
        <f t="shared" si="12"/>
        <v>2658381.7122049741</v>
      </c>
      <c r="K57" s="211">
        <f t="shared" si="12"/>
        <v>3279739.8739708327</v>
      </c>
      <c r="L57" s="211">
        <f t="shared" si="12"/>
        <v>3279739.8739708327</v>
      </c>
    </row>
    <row r="58" spans="1:18" s="57" customFormat="1">
      <c r="A58" s="262" t="s">
        <v>440</v>
      </c>
      <c r="B58" s="255">
        <v>0.05</v>
      </c>
      <c r="C58" s="189">
        <f>SUM(C53:C55)*$B$58</f>
        <v>1009005.4474992227</v>
      </c>
      <c r="D58" s="189">
        <f t="shared" ref="D58:L58" si="13">SUM(D53:D55)*$B$58</f>
        <v>1009005.4474992227</v>
      </c>
      <c r="E58" s="189">
        <f t="shared" si="13"/>
        <v>1009005.3128772909</v>
      </c>
      <c r="F58" s="189">
        <f t="shared" si="13"/>
        <v>1009005.3128772909</v>
      </c>
      <c r="G58" s="189">
        <f t="shared" si="13"/>
        <v>1185702.9257122769</v>
      </c>
      <c r="H58" s="189">
        <f t="shared" si="13"/>
        <v>1185702.9257122769</v>
      </c>
      <c r="I58" s="189">
        <f t="shared" si="13"/>
        <v>1329190.8561024871</v>
      </c>
      <c r="J58" s="189">
        <f t="shared" si="13"/>
        <v>1329190.8561024871</v>
      </c>
      <c r="K58" s="189">
        <f t="shared" si="13"/>
        <v>1639869.9369854163</v>
      </c>
      <c r="L58" s="189">
        <f t="shared" si="13"/>
        <v>1639869.9369854163</v>
      </c>
    </row>
    <row r="59" spans="1:18" ht="19.5" customHeight="1" thickBot="1">
      <c r="A59" s="1413" t="s">
        <v>12</v>
      </c>
      <c r="B59" s="1414"/>
      <c r="C59" s="205">
        <f t="shared" ref="C59:L59" si="14">SUM(C53:C58)</f>
        <v>25225136.187480569</v>
      </c>
      <c r="D59" s="205">
        <f t="shared" si="14"/>
        <v>25225136.187480569</v>
      </c>
      <c r="E59" s="205">
        <f t="shared" si="14"/>
        <v>25225132.821932271</v>
      </c>
      <c r="F59" s="205">
        <f t="shared" si="14"/>
        <v>25225132.821932271</v>
      </c>
      <c r="G59" s="205">
        <f t="shared" si="14"/>
        <v>29642573.142806921</v>
      </c>
      <c r="H59" s="205">
        <f t="shared" si="14"/>
        <v>29642573.142806921</v>
      </c>
      <c r="I59" s="205">
        <f t="shared" si="14"/>
        <v>33229771.402562171</v>
      </c>
      <c r="J59" s="205">
        <f t="shared" si="14"/>
        <v>33229771.402562171</v>
      </c>
      <c r="K59" s="205">
        <f t="shared" si="14"/>
        <v>40996748.42463541</v>
      </c>
      <c r="L59" s="215">
        <f t="shared" si="14"/>
        <v>40996748.42463541</v>
      </c>
      <c r="O59" s="530"/>
      <c r="R59" s="668"/>
    </row>
    <row r="60" spans="1:18" ht="16.5" thickBot="1">
      <c r="A60" s="1489" t="s">
        <v>604</v>
      </c>
      <c r="B60" s="1490"/>
      <c r="C60" s="814">
        <f>SUM(C50,C59)</f>
        <v>38004509.698464841</v>
      </c>
      <c r="D60" s="815">
        <f t="shared" ref="D60:L60" si="15">SUM(D50,D59)</f>
        <v>36962175.255127668</v>
      </c>
      <c r="E60" s="815">
        <f t="shared" si="15"/>
        <v>38835035.838266775</v>
      </c>
      <c r="F60" s="815">
        <f t="shared" si="15"/>
        <v>37678570.615060277</v>
      </c>
      <c r="G60" s="815">
        <f t="shared" si="15"/>
        <v>46310434.916253455</v>
      </c>
      <c r="H60" s="815">
        <f t="shared" si="15"/>
        <v>45098572.838384889</v>
      </c>
      <c r="I60" s="815">
        <f t="shared" si="15"/>
        <v>60493401.912476674</v>
      </c>
      <c r="J60" s="815">
        <f t="shared" si="15"/>
        <v>57757827.902351096</v>
      </c>
      <c r="K60" s="815">
        <f t="shared" si="15"/>
        <v>74167209.425625205</v>
      </c>
      <c r="L60" s="816">
        <f t="shared" si="15"/>
        <v>70711944.791902274</v>
      </c>
    </row>
  </sheetData>
  <mergeCells count="60">
    <mergeCell ref="A44:B44"/>
    <mergeCell ref="A49:B49"/>
    <mergeCell ref="A50:B50"/>
    <mergeCell ref="A51:B51"/>
    <mergeCell ref="A52:B52"/>
    <mergeCell ref="A53:B53"/>
    <mergeCell ref="A60:B60"/>
    <mergeCell ref="A54:B54"/>
    <mergeCell ref="A55:B55"/>
    <mergeCell ref="A59:B59"/>
    <mergeCell ref="A43:B43"/>
    <mergeCell ref="A34:B34"/>
    <mergeCell ref="A35:B35"/>
    <mergeCell ref="A36:B36"/>
    <mergeCell ref="A37:B37"/>
    <mergeCell ref="A38:B38"/>
    <mergeCell ref="A39:B39"/>
    <mergeCell ref="A32:B32"/>
    <mergeCell ref="A33:B33"/>
    <mergeCell ref="A40:B40"/>
    <mergeCell ref="A41:B41"/>
    <mergeCell ref="A42:B42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20:B20"/>
    <mergeCell ref="A21:B21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K1:L1"/>
    <mergeCell ref="K2:L2"/>
    <mergeCell ref="K3:L3"/>
    <mergeCell ref="A1:B3"/>
    <mergeCell ref="C1:J2"/>
    <mergeCell ref="C3:J3"/>
    <mergeCell ref="K4:L4"/>
    <mergeCell ref="A4:B4"/>
    <mergeCell ref="A7:B7"/>
    <mergeCell ref="A8:B8"/>
    <mergeCell ref="A9:B9"/>
    <mergeCell ref="A5:B6"/>
    <mergeCell ref="C4:D4"/>
    <mergeCell ref="E4:F4"/>
    <mergeCell ref="G4:H4"/>
    <mergeCell ref="I4:J4"/>
  </mergeCells>
  <pageMargins left="0.7" right="0.7" top="0.75" bottom="0.75" header="0.3" footer="0.3"/>
  <pageSetup orientation="portrait" r:id="rId1"/>
  <ignoredErrors>
    <ignoredError sqref="J53 D53 F53 H53 H55:J55 D39 F39 J39 H39 D33 F33 J13:J14 D12:D13 F9:J9 D9 D14:H14 D16:J16 D18:F18 K14 D23:J23 D27 D55:G55 D54:G54 J33 H31:J32 H34:J34 H33:I33 J54 H54 G18:H18 I18:J18 F27 H27 J2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K61"/>
  <sheetViews>
    <sheetView zoomScale="80" zoomScaleNormal="80" workbookViewId="0">
      <pane ySplit="9" topLeftCell="A10" activePane="bottomLeft" state="frozen"/>
      <selection pane="bottomLeft" activeCell="I1" sqref="I1:J3"/>
    </sheetView>
  </sheetViews>
  <sheetFormatPr baseColWidth="10" defaultRowHeight="15"/>
  <cols>
    <col min="1" max="1" width="24.28515625" customWidth="1"/>
    <col min="2" max="2" width="22.7109375" customWidth="1"/>
    <col min="3" max="10" width="15.7109375" customWidth="1"/>
  </cols>
  <sheetData>
    <row r="1" spans="1:10" ht="23.25" customHeight="1">
      <c r="A1" s="1254" t="s">
        <v>167</v>
      </c>
      <c r="B1" s="1393" t="s">
        <v>337</v>
      </c>
      <c r="C1" s="1515"/>
      <c r="D1" s="1515"/>
      <c r="E1" s="1515"/>
      <c r="F1" s="1515"/>
      <c r="G1" s="1515"/>
      <c r="H1" s="1515"/>
      <c r="I1" s="1475" t="s">
        <v>447</v>
      </c>
      <c r="J1" s="1476"/>
    </row>
    <row r="2" spans="1:10" ht="17.25" customHeight="1">
      <c r="A2" s="1255"/>
      <c r="B2" s="1516"/>
      <c r="C2" s="1517"/>
      <c r="D2" s="1517"/>
      <c r="E2" s="1517"/>
      <c r="F2" s="1517"/>
      <c r="G2" s="1517"/>
      <c r="H2" s="1517"/>
      <c r="I2" s="1477" t="s">
        <v>564</v>
      </c>
      <c r="J2" s="1478"/>
    </row>
    <row r="3" spans="1:10" ht="23.25" customHeight="1" thickBot="1">
      <c r="A3" s="1496"/>
      <c r="B3" s="1369" t="s">
        <v>448</v>
      </c>
      <c r="C3" s="1370"/>
      <c r="D3" s="1370"/>
      <c r="E3" s="1370"/>
      <c r="F3" s="1370"/>
      <c r="G3" s="1370"/>
      <c r="H3" s="1370"/>
      <c r="I3" s="1479">
        <v>41959</v>
      </c>
      <c r="J3" s="1480"/>
    </row>
    <row r="4" spans="1:10">
      <c r="A4" s="62"/>
      <c r="B4" s="5"/>
      <c r="C4" s="5"/>
      <c r="D4" s="5"/>
      <c r="E4" s="5"/>
      <c r="F4" s="5"/>
      <c r="G4" s="5"/>
      <c r="H4" s="5"/>
      <c r="I4" s="5"/>
      <c r="J4" s="63"/>
    </row>
    <row r="5" spans="1:10">
      <c r="A5" s="1497" t="s">
        <v>120</v>
      </c>
      <c r="B5" s="1498"/>
      <c r="C5" s="1498"/>
      <c r="D5" s="1498"/>
      <c r="E5" s="1498"/>
      <c r="F5" s="1498"/>
      <c r="G5" s="1498"/>
      <c r="H5" s="1498"/>
      <c r="I5" s="1498"/>
      <c r="J5" s="1499"/>
    </row>
    <row r="6" spans="1:10">
      <c r="A6" s="1500" t="s">
        <v>121</v>
      </c>
      <c r="B6" s="1501"/>
      <c r="C6" s="1501"/>
      <c r="D6" s="1501"/>
      <c r="E6" s="1501"/>
      <c r="F6" s="1501"/>
      <c r="G6" s="1501"/>
      <c r="H6" s="1501"/>
      <c r="I6" s="1501"/>
      <c r="J6" s="1502"/>
    </row>
    <row r="7" spans="1:10">
      <c r="A7" s="1503" t="s">
        <v>31</v>
      </c>
      <c r="B7" s="1504"/>
      <c r="C7" s="1505" t="s">
        <v>5</v>
      </c>
      <c r="D7" s="1505"/>
      <c r="E7" s="1505" t="s">
        <v>6</v>
      </c>
      <c r="F7" s="1505"/>
      <c r="G7" s="1505" t="s">
        <v>7</v>
      </c>
      <c r="H7" s="1505"/>
      <c r="I7" s="1505" t="s">
        <v>8</v>
      </c>
      <c r="J7" s="1506"/>
    </row>
    <row r="8" spans="1:10">
      <c r="A8" s="1507"/>
      <c r="B8" s="1508"/>
      <c r="C8" s="290" t="s">
        <v>118</v>
      </c>
      <c r="D8" s="290" t="s">
        <v>119</v>
      </c>
      <c r="E8" s="290" t="s">
        <v>118</v>
      </c>
      <c r="F8" s="290" t="s">
        <v>119</v>
      </c>
      <c r="G8" s="290" t="s">
        <v>118</v>
      </c>
      <c r="H8" s="290" t="s">
        <v>119</v>
      </c>
      <c r="I8" s="290" t="s">
        <v>118</v>
      </c>
      <c r="J8" s="397" t="s">
        <v>119</v>
      </c>
    </row>
    <row r="9" spans="1:10">
      <c r="A9" s="1509"/>
      <c r="B9" s="1510"/>
      <c r="C9" s="233"/>
      <c r="D9" s="233"/>
      <c r="E9" s="233"/>
      <c r="F9" s="233"/>
      <c r="G9" s="233"/>
      <c r="H9" s="233"/>
      <c r="I9" s="233"/>
      <c r="J9" s="507"/>
    </row>
    <row r="10" spans="1:10">
      <c r="A10" s="1511" t="s">
        <v>32</v>
      </c>
      <c r="B10" s="1512"/>
      <c r="C10" s="320"/>
      <c r="D10" s="320"/>
      <c r="E10" s="320"/>
      <c r="F10" s="320"/>
      <c r="G10" s="320"/>
      <c r="H10" s="320"/>
      <c r="I10" s="320"/>
      <c r="J10" s="617"/>
    </row>
    <row r="11" spans="1:10">
      <c r="A11" s="1246" t="s">
        <v>33</v>
      </c>
      <c r="B11" s="1495"/>
      <c r="C11" s="321"/>
      <c r="D11" s="321"/>
      <c r="E11" s="321"/>
      <c r="F11" s="321"/>
      <c r="G11" s="321"/>
      <c r="H11" s="321"/>
      <c r="I11" s="321"/>
      <c r="J11" s="325"/>
    </row>
    <row r="12" spans="1:10">
      <c r="A12" s="1513" t="s">
        <v>36</v>
      </c>
      <c r="B12" s="1514"/>
      <c r="C12" s="321">
        <f>D12</f>
        <v>265686.27339793002</v>
      </c>
      <c r="D12" s="321">
        <f>'03-APU-2014'!E129</f>
        <v>265686.27339793002</v>
      </c>
      <c r="E12" s="321">
        <f>F12</f>
        <v>265686.27339793002</v>
      </c>
      <c r="F12" s="321">
        <f>'03-APU-2014'!J129</f>
        <v>265686.27339793002</v>
      </c>
      <c r="G12" s="321">
        <f>H12</f>
        <v>265686.27339793002</v>
      </c>
      <c r="H12" s="321">
        <f>'03-APU-2014'!K129</f>
        <v>265686.27339793002</v>
      </c>
      <c r="I12" s="321">
        <f>J12</f>
        <v>265686.27339793002</v>
      </c>
      <c r="J12" s="325">
        <f>'03-APU-2014'!L129</f>
        <v>265686.27339793002</v>
      </c>
    </row>
    <row r="13" spans="1:10">
      <c r="A13" s="1513"/>
      <c r="B13" s="1514"/>
      <c r="C13" s="321"/>
      <c r="D13" s="321"/>
      <c r="E13" s="321"/>
      <c r="F13" s="321"/>
      <c r="G13" s="321"/>
      <c r="H13" s="321"/>
      <c r="I13" s="321"/>
      <c r="J13" s="325"/>
    </row>
    <row r="14" spans="1:10">
      <c r="A14" s="1246" t="s">
        <v>77</v>
      </c>
      <c r="B14" s="1495"/>
      <c r="C14" s="321"/>
      <c r="D14" s="321"/>
      <c r="E14" s="321"/>
      <c r="F14" s="321"/>
      <c r="G14" s="321"/>
      <c r="H14" s="321"/>
      <c r="I14" s="321"/>
      <c r="J14" s="325"/>
    </row>
    <row r="15" spans="1:10">
      <c r="A15" s="1513" t="s">
        <v>38</v>
      </c>
      <c r="B15" s="1514"/>
      <c r="C15" s="321">
        <f>D15</f>
        <v>474603.17987826344</v>
      </c>
      <c r="D15" s="321">
        <f>'03-APU-2014'!I144</f>
        <v>474603.17987826344</v>
      </c>
      <c r="E15" s="321">
        <f>F15</f>
        <v>474603.17987826344</v>
      </c>
      <c r="F15" s="321">
        <f>'03-APU-2014'!J144</f>
        <v>474603.17987826344</v>
      </c>
      <c r="G15" s="321">
        <f>H15</f>
        <v>474603.17987826344</v>
      </c>
      <c r="H15" s="321">
        <f>'03-APU-2014'!K144</f>
        <v>474603.17987826344</v>
      </c>
      <c r="I15" s="321">
        <f>J15</f>
        <v>474603.17987826344</v>
      </c>
      <c r="J15" s="325">
        <f>'03-APU-2014'!L144</f>
        <v>474603.17987826344</v>
      </c>
    </row>
    <row r="16" spans="1:10">
      <c r="A16" s="1513" t="s">
        <v>78</v>
      </c>
      <c r="B16" s="1514"/>
      <c r="C16" s="321">
        <f t="shared" ref="C16:C17" si="0">D16</f>
        <v>740289.45327619347</v>
      </c>
      <c r="D16" s="321">
        <f>'03-APU-2014'!I160</f>
        <v>740289.45327619347</v>
      </c>
      <c r="E16" s="321">
        <f t="shared" ref="E16:E17" si="1">F16</f>
        <v>740289.45327619347</v>
      </c>
      <c r="F16" s="321">
        <f>'03-APU-2014'!J160</f>
        <v>740289.45327619347</v>
      </c>
      <c r="G16" s="321">
        <f t="shared" ref="G16:G17" si="2">H16</f>
        <v>740289.45327619347</v>
      </c>
      <c r="H16" s="321">
        <f>'03-APU-2014'!K160</f>
        <v>740289.45327619347</v>
      </c>
      <c r="I16" s="321">
        <f t="shared" ref="I16:I17" si="3">J16</f>
        <v>740289.45327619347</v>
      </c>
      <c r="J16" s="325">
        <f>'03-APU-2014'!L160</f>
        <v>740289.45327619347</v>
      </c>
    </row>
    <row r="17" spans="1:10">
      <c r="A17" s="1513" t="s">
        <v>40</v>
      </c>
      <c r="B17" s="1514"/>
      <c r="C17" s="321">
        <f t="shared" si="0"/>
        <v>596995.36707874015</v>
      </c>
      <c r="D17" s="321">
        <f>'03-APU-2014'!I176</f>
        <v>596995.36707874015</v>
      </c>
      <c r="E17" s="321">
        <f t="shared" si="1"/>
        <v>596995.36707874015</v>
      </c>
      <c r="F17" s="321">
        <f>'03-APU-2014'!J176</f>
        <v>596995.36707874015</v>
      </c>
      <c r="G17" s="321">
        <f t="shared" si="2"/>
        <v>596995.36707874015</v>
      </c>
      <c r="H17" s="321">
        <f>'03-APU-2014'!K176</f>
        <v>596995.36707874015</v>
      </c>
      <c r="I17" s="321">
        <f t="shared" si="3"/>
        <v>596995.36707874015</v>
      </c>
      <c r="J17" s="325">
        <f>'03-APU-2014'!L176</f>
        <v>596995.36707874015</v>
      </c>
    </row>
    <row r="18" spans="1:10">
      <c r="A18" s="1513"/>
      <c r="B18" s="1514"/>
      <c r="C18" s="321"/>
      <c r="D18" s="321"/>
      <c r="E18" s="321"/>
      <c r="F18" s="321"/>
      <c r="G18" s="321"/>
      <c r="H18" s="321"/>
      <c r="I18" s="321"/>
      <c r="J18" s="325"/>
    </row>
    <row r="19" spans="1:10">
      <c r="A19" s="1246" t="s">
        <v>441</v>
      </c>
      <c r="B19" s="1495"/>
      <c r="C19" s="321">
        <f>D19</f>
        <v>387280</v>
      </c>
      <c r="D19" s="321">
        <f>'03-APU-2014'!I347</f>
        <v>387280</v>
      </c>
      <c r="E19" s="321">
        <f>F19</f>
        <v>387280</v>
      </c>
      <c r="F19" s="321">
        <f>'03-APU-2014'!J347</f>
        <v>387280</v>
      </c>
      <c r="G19" s="321">
        <f>H19</f>
        <v>387280</v>
      </c>
      <c r="H19" s="321">
        <f>'03-APU-2014'!K347</f>
        <v>387280</v>
      </c>
      <c r="I19" s="321">
        <f>J19</f>
        <v>387280</v>
      </c>
      <c r="J19" s="325">
        <f>'03-APU-2014'!L347</f>
        <v>387280</v>
      </c>
    </row>
    <row r="20" spans="1:10">
      <c r="A20" s="1513"/>
      <c r="B20" s="1514"/>
      <c r="C20" s="321"/>
      <c r="D20" s="321"/>
      <c r="E20" s="321"/>
      <c r="F20" s="321"/>
      <c r="G20" s="321"/>
      <c r="H20" s="321"/>
      <c r="I20" s="321"/>
      <c r="J20" s="325"/>
    </row>
    <row r="21" spans="1:10">
      <c r="A21" s="1246" t="s">
        <v>600</v>
      </c>
      <c r="B21" s="1495"/>
      <c r="C21" s="321">
        <f>'03-APU-2014'!I65</f>
        <v>2628094.3333333335</v>
      </c>
      <c r="D21" s="321">
        <f>'03-APU-2014'!I65</f>
        <v>2628094.3333333335</v>
      </c>
      <c r="E21" s="321">
        <f>'03-APU-2014'!K65</f>
        <v>3057192.3333333335</v>
      </c>
      <c r="F21" s="321">
        <f>'03-APU-2014'!J65</f>
        <v>3021775.666666667</v>
      </c>
      <c r="G21" s="321">
        <f>'03-APU-2014'!L65</f>
        <v>3092609</v>
      </c>
      <c r="H21" s="321">
        <f>'03-APU-2014'!K65</f>
        <v>3057192.3333333335</v>
      </c>
      <c r="I21" s="321">
        <f>'03-APU-2014'!M65</f>
        <v>3113859</v>
      </c>
      <c r="J21" s="325">
        <f>'03-APU-2014'!L65</f>
        <v>3092609</v>
      </c>
    </row>
    <row r="22" spans="1:10">
      <c r="A22" s="1513"/>
      <c r="B22" s="1514"/>
      <c r="C22" s="321"/>
      <c r="D22" s="321"/>
      <c r="E22" s="321"/>
      <c r="F22" s="321"/>
      <c r="G22" s="321"/>
      <c r="H22" s="321"/>
      <c r="I22" s="321"/>
      <c r="J22" s="325"/>
    </row>
    <row r="23" spans="1:10">
      <c r="A23" s="1503" t="s">
        <v>12</v>
      </c>
      <c r="B23" s="1504"/>
      <c r="C23" s="322">
        <f>SUM(C12,C15:C17,C19,C21)</f>
        <v>5092948.6069644606</v>
      </c>
      <c r="D23" s="322">
        <f t="shared" ref="D23:J23" si="4">SUM(D12,D15:D17,D19,D21)</f>
        <v>5092948.6069644606</v>
      </c>
      <c r="E23" s="322">
        <f t="shared" si="4"/>
        <v>5522046.6069644606</v>
      </c>
      <c r="F23" s="322">
        <f t="shared" si="4"/>
        <v>5486629.9402977936</v>
      </c>
      <c r="G23" s="322">
        <f t="shared" si="4"/>
        <v>5557463.2736311276</v>
      </c>
      <c r="H23" s="322">
        <f t="shared" si="4"/>
        <v>5522046.6069644606</v>
      </c>
      <c r="I23" s="322">
        <f t="shared" si="4"/>
        <v>5578713.2736311276</v>
      </c>
      <c r="J23" s="618">
        <f t="shared" si="4"/>
        <v>5557463.2736311276</v>
      </c>
    </row>
    <row r="24" spans="1:10">
      <c r="A24" s="1246" t="s">
        <v>47</v>
      </c>
      <c r="B24" s="1495"/>
      <c r="C24" s="233"/>
      <c r="D24" s="233"/>
      <c r="E24" s="233"/>
      <c r="F24" s="233"/>
      <c r="G24" s="233"/>
      <c r="H24" s="233"/>
      <c r="I24" s="233"/>
      <c r="J24" s="507"/>
    </row>
    <row r="25" spans="1:10">
      <c r="A25" s="1513" t="s">
        <v>109</v>
      </c>
      <c r="B25" s="1514"/>
      <c r="C25" s="321">
        <f>D25</f>
        <v>1613652.7453578059</v>
      </c>
      <c r="D25" s="321">
        <f>'03-APU-2014'!I220</f>
        <v>1613652.7453578059</v>
      </c>
      <c r="E25" s="321">
        <f>F25</f>
        <v>2680984.9830931202</v>
      </c>
      <c r="F25" s="321">
        <f>'03-APU-2014'!J220</f>
        <v>2680984.9830931202</v>
      </c>
      <c r="G25" s="321">
        <f>H25*1.1</f>
        <v>3094725.6814024323</v>
      </c>
      <c r="H25" s="321">
        <f>'03-APU-2014'!K220</f>
        <v>2813386.9830931202</v>
      </c>
      <c r="I25" s="321">
        <f>J25*1.1</f>
        <v>3404198.2495426759</v>
      </c>
      <c r="J25" s="325">
        <f>G25</f>
        <v>3094725.6814024323</v>
      </c>
    </row>
    <row r="26" spans="1:10">
      <c r="A26" s="1513"/>
      <c r="B26" s="1514"/>
      <c r="C26" s="233"/>
      <c r="D26" s="233"/>
      <c r="E26" s="233"/>
      <c r="F26" s="233"/>
      <c r="G26" s="233"/>
      <c r="H26" s="233"/>
      <c r="I26" s="233"/>
      <c r="J26" s="507"/>
    </row>
    <row r="27" spans="1:10">
      <c r="A27" s="1503" t="s">
        <v>46</v>
      </c>
      <c r="B27" s="1504"/>
      <c r="C27" s="323">
        <f t="shared" ref="C27:J27" si="5">C25</f>
        <v>1613652.7453578059</v>
      </c>
      <c r="D27" s="323">
        <f t="shared" si="5"/>
        <v>1613652.7453578059</v>
      </c>
      <c r="E27" s="323">
        <f t="shared" si="5"/>
        <v>2680984.9830931202</v>
      </c>
      <c r="F27" s="323">
        <f t="shared" si="5"/>
        <v>2680984.9830931202</v>
      </c>
      <c r="G27" s="323">
        <f t="shared" si="5"/>
        <v>3094725.6814024323</v>
      </c>
      <c r="H27" s="323">
        <f t="shared" si="5"/>
        <v>2813386.9830931202</v>
      </c>
      <c r="I27" s="323">
        <f t="shared" si="5"/>
        <v>3404198.2495426759</v>
      </c>
      <c r="J27" s="619">
        <f t="shared" si="5"/>
        <v>3094725.6814024323</v>
      </c>
    </row>
    <row r="28" spans="1:10">
      <c r="A28" s="1246" t="s">
        <v>57</v>
      </c>
      <c r="B28" s="1495"/>
      <c r="C28" s="233"/>
      <c r="D28" s="233"/>
      <c r="E28" s="233"/>
      <c r="F28" s="233"/>
      <c r="G28" s="233"/>
      <c r="H28" s="233"/>
      <c r="I28" s="233"/>
      <c r="J28" s="507"/>
    </row>
    <row r="29" spans="1:10">
      <c r="A29" s="1513" t="s">
        <v>110</v>
      </c>
      <c r="B29" s="1514"/>
      <c r="C29" s="321">
        <f>D29*1.05</f>
        <v>2057501.6850976287</v>
      </c>
      <c r="D29" s="321">
        <f>'03-APU-2014'!I13</f>
        <v>1959525.414378694</v>
      </c>
      <c r="E29" s="321">
        <f>F29*1.05</f>
        <v>2663084.9568801718</v>
      </c>
      <c r="F29" s="321">
        <f>'03-APU-2014'!J13</f>
        <v>2536271.3875049255</v>
      </c>
      <c r="G29" s="321">
        <f>H29*1.05</f>
        <v>2929393.4525681892</v>
      </c>
      <c r="H29" s="321">
        <f>'03-APU-2014'!K13*1.1</f>
        <v>2789898.5262554181</v>
      </c>
      <c r="I29" s="321">
        <f>J29*1.1</f>
        <v>3347878.2315065018</v>
      </c>
      <c r="J29" s="325">
        <f>'03-APU-2014'!L13*1.2</f>
        <v>3043525.6650059107</v>
      </c>
    </row>
    <row r="30" spans="1:10">
      <c r="A30" s="1513"/>
      <c r="B30" s="1514"/>
      <c r="C30" s="233"/>
      <c r="D30" s="233"/>
      <c r="E30" s="233"/>
      <c r="F30" s="233"/>
      <c r="G30" s="233"/>
      <c r="H30" s="233"/>
      <c r="I30" s="233"/>
      <c r="J30" s="507"/>
    </row>
    <row r="31" spans="1:10">
      <c r="A31" s="1503" t="s">
        <v>46</v>
      </c>
      <c r="B31" s="1504"/>
      <c r="C31" s="323">
        <f t="shared" ref="C31:J31" si="6">C29</f>
        <v>2057501.6850976287</v>
      </c>
      <c r="D31" s="323">
        <f t="shared" si="6"/>
        <v>1959525.414378694</v>
      </c>
      <c r="E31" s="323">
        <f t="shared" si="6"/>
        <v>2663084.9568801718</v>
      </c>
      <c r="F31" s="323">
        <f t="shared" si="6"/>
        <v>2536271.3875049255</v>
      </c>
      <c r="G31" s="323">
        <f t="shared" si="6"/>
        <v>2929393.4525681892</v>
      </c>
      <c r="H31" s="323">
        <f t="shared" si="6"/>
        <v>2789898.5262554181</v>
      </c>
      <c r="I31" s="323">
        <f t="shared" si="6"/>
        <v>3347878.2315065018</v>
      </c>
      <c r="J31" s="619">
        <f t="shared" si="6"/>
        <v>3043525.6650059107</v>
      </c>
    </row>
    <row r="32" spans="1:10">
      <c r="A32" s="1246" t="s">
        <v>111</v>
      </c>
      <c r="B32" s="1495"/>
      <c r="C32" s="233"/>
      <c r="D32" s="233"/>
      <c r="E32" s="233"/>
      <c r="F32" s="233"/>
      <c r="G32" s="233"/>
      <c r="H32" s="233"/>
      <c r="I32" s="233"/>
      <c r="J32" s="507"/>
    </row>
    <row r="33" spans="1:11">
      <c r="A33" s="1513" t="s">
        <v>112</v>
      </c>
      <c r="B33" s="1514"/>
      <c r="C33" s="321">
        <f>D33*2.2</f>
        <v>1117490.1947570667</v>
      </c>
      <c r="D33" s="321">
        <f>'03-APU-2014'!I353</f>
        <v>507950.08852593938</v>
      </c>
      <c r="E33" s="321">
        <f>F33*2.2</f>
        <v>1285308.0103427288</v>
      </c>
      <c r="F33" s="321">
        <f>'03-APU-2014'!J353</f>
        <v>584230.9137921494</v>
      </c>
      <c r="G33" s="321">
        <f>H33*2.2</f>
        <v>1346990.9718026335</v>
      </c>
      <c r="H33" s="321">
        <f>'03-APU-2014'!K353</f>
        <v>612268.62354665156</v>
      </c>
      <c r="I33" s="321">
        <f>J33*2.2</f>
        <v>1616388.5738266602</v>
      </c>
      <c r="J33" s="321">
        <f>'03-APU-2014'!L353</f>
        <v>734722.07901211816</v>
      </c>
    </row>
    <row r="34" spans="1:11">
      <c r="A34" s="1513"/>
      <c r="B34" s="1514"/>
      <c r="C34" s="233"/>
      <c r="D34" s="233"/>
      <c r="E34" s="233"/>
      <c r="G34" s="233"/>
      <c r="H34" s="233"/>
      <c r="I34" s="233"/>
      <c r="J34" s="507"/>
    </row>
    <row r="35" spans="1:11">
      <c r="A35" s="1513" t="s">
        <v>113</v>
      </c>
      <c r="B35" s="1514"/>
      <c r="C35" s="324">
        <f>D35*1.1</f>
        <v>361075.00000000006</v>
      </c>
      <c r="D35" s="633">
        <f>'03-APU-2014'!I390</f>
        <v>328250</v>
      </c>
      <c r="E35" s="321">
        <f>F35*1.1</f>
        <v>518492.87049988715</v>
      </c>
      <c r="F35" s="321">
        <f>'03-APU-2014'!J389</f>
        <v>471357.15499989735</v>
      </c>
      <c r="G35" s="321">
        <f>H35*1.1</f>
        <v>551169.11353955336</v>
      </c>
      <c r="H35" s="321">
        <f>'03-APU-2014'!K389</f>
        <v>501062.83049050305</v>
      </c>
      <c r="I35" s="321">
        <f>J35*1.1</f>
        <v>583303.36868143501</v>
      </c>
      <c r="J35" s="410">
        <f>'03-APU-2014'!L389</f>
        <v>530275.78971039539</v>
      </c>
    </row>
    <row r="36" spans="1:11">
      <c r="A36" s="1513"/>
      <c r="B36" s="1514"/>
      <c r="C36" s="233"/>
      <c r="D36" s="233"/>
      <c r="E36" s="233"/>
      <c r="F36" s="233"/>
      <c r="G36" s="233"/>
      <c r="H36" s="233"/>
      <c r="I36" s="233"/>
      <c r="J36" s="507"/>
    </row>
    <row r="37" spans="1:11">
      <c r="A37" s="1518" t="s">
        <v>46</v>
      </c>
      <c r="B37" s="1519"/>
      <c r="C37" s="636">
        <f>SUM(C32:C36)</f>
        <v>1478565.1947570667</v>
      </c>
      <c r="D37" s="636">
        <f t="shared" ref="D37:J37" si="7">SUM(D32:D36)</f>
        <v>836200.08852593938</v>
      </c>
      <c r="E37" s="636">
        <f t="shared" si="7"/>
        <v>1803800.8808426159</v>
      </c>
      <c r="F37" s="636">
        <f t="shared" si="7"/>
        <v>1055588.0687920467</v>
      </c>
      <c r="G37" s="636">
        <f t="shared" si="7"/>
        <v>1898160.085342187</v>
      </c>
      <c r="H37" s="636">
        <f t="shared" si="7"/>
        <v>1113331.4540371546</v>
      </c>
      <c r="I37" s="636">
        <f t="shared" si="7"/>
        <v>2199691.9425080949</v>
      </c>
      <c r="J37" s="636">
        <f t="shared" si="7"/>
        <v>1264997.8687225136</v>
      </c>
    </row>
    <row r="38" spans="1:11">
      <c r="A38" s="1513"/>
      <c r="B38" s="1514"/>
      <c r="C38" s="233"/>
      <c r="D38" s="233"/>
      <c r="E38" s="233"/>
      <c r="F38" s="233"/>
      <c r="G38" s="233"/>
      <c r="H38" s="233"/>
      <c r="I38" s="233"/>
      <c r="J38" s="507"/>
    </row>
    <row r="39" spans="1:11">
      <c r="A39" s="1246" t="s">
        <v>62</v>
      </c>
      <c r="B39" s="1495"/>
      <c r="C39" s="233"/>
      <c r="E39" s="233"/>
      <c r="G39" s="233"/>
      <c r="H39" s="233"/>
      <c r="I39" s="233"/>
      <c r="J39" s="507"/>
    </row>
    <row r="40" spans="1:11">
      <c r="A40" s="1246" t="s">
        <v>114</v>
      </c>
      <c r="B40" s="1495"/>
      <c r="C40" s="233"/>
      <c r="D40" s="233"/>
      <c r="E40" s="233"/>
      <c r="F40" s="233"/>
      <c r="H40" s="233"/>
      <c r="I40" s="233"/>
      <c r="J40" s="635"/>
    </row>
    <row r="41" spans="1:11">
      <c r="A41" s="1513" t="s">
        <v>115</v>
      </c>
      <c r="B41" s="1514"/>
      <c r="C41" s="326">
        <f>D41*1.1</f>
        <v>25079740.109246656</v>
      </c>
      <c r="D41" s="326">
        <f>'03-APU-2014'!I292</f>
        <v>22799763.735678777</v>
      </c>
      <c r="E41" s="326">
        <f>F41*1.1</f>
        <v>33056757.264634345</v>
      </c>
      <c r="F41" s="326">
        <f>'03-APU-2014'!J292</f>
        <v>30051597.513303947</v>
      </c>
      <c r="G41" s="326">
        <f>H41*1.1</f>
        <v>72327306.355318308</v>
      </c>
      <c r="H41" s="326">
        <f>'03-APU-2014'!K292</f>
        <v>65752096.686653003</v>
      </c>
      <c r="I41" s="634">
        <f>J41*1.1</f>
        <v>98590959.532977462</v>
      </c>
      <c r="J41" s="620">
        <f>'03-APU-2014'!L292</f>
        <v>89628145.029979497</v>
      </c>
    </row>
    <row r="42" spans="1:11">
      <c r="A42" s="1246"/>
      <c r="B42" s="1495"/>
      <c r="C42" s="233"/>
      <c r="D42" s="233"/>
      <c r="E42" s="233"/>
      <c r="F42" s="233"/>
      <c r="G42" s="233"/>
      <c r="H42" s="233"/>
      <c r="I42" s="233"/>
      <c r="J42" s="507"/>
    </row>
    <row r="43" spans="1:11">
      <c r="A43" s="1518" t="s">
        <v>12</v>
      </c>
      <c r="B43" s="1519"/>
      <c r="C43" s="636">
        <f t="shared" ref="C43:J43" si="8">C41</f>
        <v>25079740.109246656</v>
      </c>
      <c r="D43" s="636">
        <f t="shared" si="8"/>
        <v>22799763.735678777</v>
      </c>
      <c r="E43" s="636">
        <f t="shared" si="8"/>
        <v>33056757.264634345</v>
      </c>
      <c r="F43" s="636">
        <f t="shared" si="8"/>
        <v>30051597.513303947</v>
      </c>
      <c r="G43" s="636">
        <f t="shared" si="8"/>
        <v>72327306.355318308</v>
      </c>
      <c r="H43" s="636">
        <f t="shared" si="8"/>
        <v>65752096.686653003</v>
      </c>
      <c r="I43" s="636">
        <f t="shared" si="8"/>
        <v>98590959.532977462</v>
      </c>
      <c r="J43" s="637">
        <f t="shared" si="8"/>
        <v>89628145.029979497</v>
      </c>
      <c r="K43" s="25"/>
    </row>
    <row r="44" spans="1:11">
      <c r="A44" s="1513"/>
      <c r="B44" s="1514"/>
      <c r="C44" s="233"/>
      <c r="D44" s="233"/>
      <c r="E44" s="233"/>
      <c r="F44" s="233"/>
      <c r="G44" s="233"/>
      <c r="H44" s="233"/>
      <c r="I44" s="233"/>
      <c r="J44" s="507"/>
    </row>
    <row r="45" spans="1:11" ht="18.75">
      <c r="A45" s="1520" t="s">
        <v>106</v>
      </c>
      <c r="B45" s="1521"/>
      <c r="C45" s="321">
        <f>SUM(C23,C27,C31,C37,C43)</f>
        <v>35322408.341423616</v>
      </c>
      <c r="D45" s="321">
        <f t="shared" ref="D45:J45" si="9">SUM(D23,D27,D31,D37,D43)</f>
        <v>32302090.590905678</v>
      </c>
      <c r="E45" s="321">
        <f t="shared" si="9"/>
        <v>45726674.692414716</v>
      </c>
      <c r="F45" s="321">
        <f t="shared" si="9"/>
        <v>41811071.892991833</v>
      </c>
      <c r="G45" s="321">
        <f t="shared" si="9"/>
        <v>85807048.84826225</v>
      </c>
      <c r="H45" s="321">
        <f t="shared" si="9"/>
        <v>77990760.257003158</v>
      </c>
      <c r="I45" s="321">
        <f t="shared" si="9"/>
        <v>113121441.23016587</v>
      </c>
      <c r="J45" s="325">
        <f t="shared" si="9"/>
        <v>102588857.51874149</v>
      </c>
    </row>
    <row r="46" spans="1:11">
      <c r="A46" s="1513"/>
      <c r="B46" s="1514"/>
      <c r="C46" s="233"/>
      <c r="D46" s="233"/>
      <c r="E46" s="233"/>
      <c r="F46" s="233"/>
      <c r="G46" s="233"/>
      <c r="H46" s="233"/>
      <c r="I46" s="233"/>
      <c r="J46" s="507"/>
    </row>
    <row r="47" spans="1:11">
      <c r="A47" s="508" t="s">
        <v>365</v>
      </c>
      <c r="B47" s="258">
        <v>0.1</v>
      </c>
      <c r="C47" s="330">
        <f>C45*$B$47</f>
        <v>3532240.8341423618</v>
      </c>
      <c r="D47" s="330">
        <f t="shared" ref="D47:J47" si="10">D45*$B$47</f>
        <v>3230209.0590905678</v>
      </c>
      <c r="E47" s="330">
        <f t="shared" si="10"/>
        <v>4572667.469241472</v>
      </c>
      <c r="F47" s="330">
        <f t="shared" si="10"/>
        <v>4181107.1892991834</v>
      </c>
      <c r="G47" s="330">
        <f t="shared" si="10"/>
        <v>8580704.8848262262</v>
      </c>
      <c r="H47" s="330">
        <f t="shared" si="10"/>
        <v>7799076.0257003158</v>
      </c>
      <c r="I47" s="330">
        <f t="shared" si="10"/>
        <v>11312144.123016588</v>
      </c>
      <c r="J47" s="621">
        <f t="shared" si="10"/>
        <v>10258885.751874149</v>
      </c>
    </row>
    <row r="48" spans="1:11">
      <c r="A48" s="508" t="s">
        <v>474</v>
      </c>
      <c r="B48" s="258">
        <v>0.1</v>
      </c>
      <c r="C48" s="330">
        <f>C45*$B$48</f>
        <v>3532240.8341423618</v>
      </c>
      <c r="D48" s="330">
        <f t="shared" ref="D48:J48" si="11">D45*$B$48</f>
        <v>3230209.0590905678</v>
      </c>
      <c r="E48" s="330">
        <f t="shared" si="11"/>
        <v>4572667.469241472</v>
      </c>
      <c r="F48" s="330">
        <f t="shared" si="11"/>
        <v>4181107.1892991834</v>
      </c>
      <c r="G48" s="330">
        <f t="shared" si="11"/>
        <v>8580704.8848262262</v>
      </c>
      <c r="H48" s="330">
        <f t="shared" si="11"/>
        <v>7799076.0257003158</v>
      </c>
      <c r="I48" s="330">
        <f t="shared" si="11"/>
        <v>11312144.123016588</v>
      </c>
      <c r="J48" s="621">
        <f t="shared" si="11"/>
        <v>10258885.751874149</v>
      </c>
    </row>
    <row r="49" spans="1:10">
      <c r="A49" s="508" t="s">
        <v>475</v>
      </c>
      <c r="B49" s="258">
        <v>0.05</v>
      </c>
      <c r="C49" s="330">
        <f>C45*$B$49</f>
        <v>1766120.4170711809</v>
      </c>
      <c r="D49" s="330">
        <f t="shared" ref="D49:J49" si="12">D45*$B$49</f>
        <v>1615104.5295452839</v>
      </c>
      <c r="E49" s="330">
        <f t="shared" si="12"/>
        <v>2286333.734620736</v>
      </c>
      <c r="F49" s="330">
        <f t="shared" si="12"/>
        <v>2090553.5946495917</v>
      </c>
      <c r="G49" s="330">
        <f t="shared" si="12"/>
        <v>4290352.4424131131</v>
      </c>
      <c r="H49" s="330">
        <f t="shared" si="12"/>
        <v>3899538.0128501579</v>
      </c>
      <c r="I49" s="330">
        <f t="shared" si="12"/>
        <v>5656072.0615082942</v>
      </c>
      <c r="J49" s="621">
        <f t="shared" si="12"/>
        <v>5129442.8759370744</v>
      </c>
    </row>
    <row r="50" spans="1:10" s="57" customFormat="1" ht="15.75" thickBot="1">
      <c r="A50" s="508" t="s">
        <v>445</v>
      </c>
      <c r="B50" s="258">
        <v>0.16</v>
      </c>
      <c r="C50" s="330">
        <f>C49*$B$50</f>
        <v>282579.26673138893</v>
      </c>
      <c r="D50" s="330">
        <f t="shared" ref="D50:J50" si="13">D49*$B$50</f>
        <v>258416.72472724543</v>
      </c>
      <c r="E50" s="330">
        <f t="shared" si="13"/>
        <v>365813.39753931778</v>
      </c>
      <c r="F50" s="330">
        <f t="shared" si="13"/>
        <v>334488.57514393469</v>
      </c>
      <c r="G50" s="330">
        <f t="shared" si="13"/>
        <v>686456.39078609808</v>
      </c>
      <c r="H50" s="330">
        <f t="shared" si="13"/>
        <v>623926.08205602528</v>
      </c>
      <c r="I50" s="330">
        <f t="shared" si="13"/>
        <v>904971.52984132711</v>
      </c>
      <c r="J50" s="621">
        <f t="shared" si="13"/>
        <v>820710.86014993198</v>
      </c>
    </row>
    <row r="51" spans="1:10" ht="26.25" customHeight="1" thickBot="1">
      <c r="A51" s="1522" t="s">
        <v>601</v>
      </c>
      <c r="B51" s="1523"/>
      <c r="C51" s="817">
        <f t="shared" ref="C51:J51" si="14">SUM(C47:C50,C45)</f>
        <v>44435589.693510905</v>
      </c>
      <c r="D51" s="817">
        <f t="shared" si="14"/>
        <v>40636029.963359341</v>
      </c>
      <c r="E51" s="817">
        <f t="shared" si="14"/>
        <v>57524156.763057709</v>
      </c>
      <c r="F51" s="817">
        <f t="shared" si="14"/>
        <v>52598328.441383727</v>
      </c>
      <c r="G51" s="817">
        <f t="shared" si="14"/>
        <v>107945267.45111391</v>
      </c>
      <c r="H51" s="817">
        <f t="shared" si="14"/>
        <v>98112376.403309971</v>
      </c>
      <c r="I51" s="817">
        <f t="shared" si="14"/>
        <v>142306773.06754866</v>
      </c>
      <c r="J51" s="818">
        <f t="shared" si="14"/>
        <v>129056782.7585768</v>
      </c>
    </row>
    <row r="52" spans="1:10">
      <c r="A52" s="1390" t="s">
        <v>107</v>
      </c>
      <c r="B52" s="1391"/>
      <c r="C52" s="204"/>
      <c r="D52" s="204"/>
      <c r="E52" s="204"/>
      <c r="F52" s="204"/>
      <c r="G52" s="204"/>
      <c r="H52" s="204"/>
      <c r="I52" s="204"/>
      <c r="J52" s="213"/>
    </row>
    <row r="53" spans="1:10">
      <c r="A53" s="1386" t="s">
        <v>108</v>
      </c>
      <c r="B53" s="1387"/>
      <c r="C53" s="330">
        <f>D53</f>
        <v>3819088.2395370165</v>
      </c>
      <c r="D53" s="330">
        <f>'03-APU-2014'!H380</f>
        <v>3819088.2395370165</v>
      </c>
      <c r="E53" s="330">
        <f>F53</f>
        <v>5855934.2236479707</v>
      </c>
      <c r="F53" s="330">
        <f>'03-APU-2014'!J380</f>
        <v>5855934.2236479707</v>
      </c>
      <c r="G53" s="330">
        <f>H53</f>
        <v>7383570.0579505051</v>
      </c>
      <c r="H53" s="330">
        <f>'03-APU-2014'!K380</f>
        <v>7383570.0579505051</v>
      </c>
      <c r="I53" s="330">
        <f>J53</f>
        <v>8912740.5822765715</v>
      </c>
      <c r="J53" s="819">
        <f>'03-APU-2014'!L380</f>
        <v>8912740.5822765715</v>
      </c>
    </row>
    <row r="54" spans="1:10">
      <c r="A54" s="1386" t="s">
        <v>116</v>
      </c>
      <c r="B54" s="1387"/>
      <c r="C54" s="330">
        <f>'03-APU-2014'!I383</f>
        <v>27727687.561335891</v>
      </c>
      <c r="D54" s="330">
        <f>C54</f>
        <v>27727687.561335891</v>
      </c>
      <c r="E54" s="330">
        <f>'03-APU-2014'!J383</f>
        <v>32835417.31949307</v>
      </c>
      <c r="F54" s="330">
        <f>E54</f>
        <v>32835417.31949307</v>
      </c>
      <c r="G54" s="330">
        <f>H54</f>
        <v>41956366.874067657</v>
      </c>
      <c r="H54" s="330">
        <f>'03-APU-2014'!K383</f>
        <v>41956366.874067657</v>
      </c>
      <c r="I54" s="330">
        <f>J54</f>
        <v>53060562.690571636</v>
      </c>
      <c r="J54" s="819">
        <f>'03-APU-2014'!L383</f>
        <v>53060562.690571636</v>
      </c>
    </row>
    <row r="55" spans="1:10">
      <c r="A55" s="1386" t="s">
        <v>117</v>
      </c>
      <c r="B55" s="1387"/>
      <c r="C55" s="330">
        <f>D55</f>
        <v>2019328.9783335696</v>
      </c>
      <c r="D55" s="330">
        <f>'03-APU-2014'!I386</f>
        <v>2019328.9783335696</v>
      </c>
      <c r="E55" s="330">
        <f>F55</f>
        <v>2019328.9783335696</v>
      </c>
      <c r="F55" s="330">
        <f>'03-APU-2014'!J386</f>
        <v>2019328.9783335696</v>
      </c>
      <c r="G55" s="330">
        <f>H55</f>
        <v>2692438.6377780926</v>
      </c>
      <c r="H55" s="330">
        <f>'03-APU-2014'!K386</f>
        <v>2692438.6377780926</v>
      </c>
      <c r="I55" s="330">
        <f>J55</f>
        <v>2692438.6377780926</v>
      </c>
      <c r="J55" s="819">
        <f>'03-APU-2014'!L386</f>
        <v>2692438.6377780926</v>
      </c>
    </row>
    <row r="56" spans="1:10" s="57" customFormat="1">
      <c r="A56" s="622" t="s">
        <v>365</v>
      </c>
      <c r="B56" s="258">
        <v>0.1</v>
      </c>
      <c r="C56" s="330">
        <f>SUM(C53:C55)*$B$56</f>
        <v>3356610.4779206477</v>
      </c>
      <c r="D56" s="330">
        <f t="shared" ref="D56:J56" si="15">SUM(D53:D55)*$B$56</f>
        <v>3356610.4779206477</v>
      </c>
      <c r="E56" s="330">
        <f t="shared" si="15"/>
        <v>4071068.0521474611</v>
      </c>
      <c r="F56" s="330">
        <f t="shared" si="15"/>
        <v>4071068.0521474611</v>
      </c>
      <c r="G56" s="330">
        <f t="shared" si="15"/>
        <v>5203237.5569796264</v>
      </c>
      <c r="H56" s="330">
        <f t="shared" si="15"/>
        <v>5203237.5569796264</v>
      </c>
      <c r="I56" s="330">
        <f t="shared" si="15"/>
        <v>6466574.1910626302</v>
      </c>
      <c r="J56" s="330">
        <f t="shared" si="15"/>
        <v>6466574.1910626302</v>
      </c>
    </row>
    <row r="57" spans="1:10" s="57" customFormat="1">
      <c r="A57" s="622" t="s">
        <v>474</v>
      </c>
      <c r="B57" s="258">
        <v>0.1</v>
      </c>
      <c r="C57" s="330">
        <f>SUM(C53:C55)*$B$57</f>
        <v>3356610.4779206477</v>
      </c>
      <c r="D57" s="330">
        <f t="shared" ref="D57:J57" si="16">SUM(D53:D55)*$B$57</f>
        <v>3356610.4779206477</v>
      </c>
      <c r="E57" s="330">
        <f t="shared" si="16"/>
        <v>4071068.0521474611</v>
      </c>
      <c r="F57" s="330">
        <f t="shared" si="16"/>
        <v>4071068.0521474611</v>
      </c>
      <c r="G57" s="330">
        <f t="shared" si="16"/>
        <v>5203237.5569796264</v>
      </c>
      <c r="H57" s="330">
        <f t="shared" si="16"/>
        <v>5203237.5569796264</v>
      </c>
      <c r="I57" s="330">
        <f t="shared" si="16"/>
        <v>6466574.1910626302</v>
      </c>
      <c r="J57" s="330">
        <f t="shared" si="16"/>
        <v>6466574.1910626302</v>
      </c>
    </row>
    <row r="58" spans="1:10" s="57" customFormat="1">
      <c r="A58" s="622" t="s">
        <v>475</v>
      </c>
      <c r="B58" s="258">
        <v>0.05</v>
      </c>
      <c r="C58" s="330">
        <f>SUM(C53:C55)*$B$58</f>
        <v>1678305.2389603239</v>
      </c>
      <c r="D58" s="330">
        <f t="shared" ref="D58:J58" si="17">SUM(D53:D55)*$B$58</f>
        <v>1678305.2389603239</v>
      </c>
      <c r="E58" s="330">
        <f t="shared" si="17"/>
        <v>2035534.0260737306</v>
      </c>
      <c r="F58" s="330">
        <f t="shared" si="17"/>
        <v>2035534.0260737306</v>
      </c>
      <c r="G58" s="330">
        <f t="shared" si="17"/>
        <v>2601618.7784898132</v>
      </c>
      <c r="H58" s="330">
        <f t="shared" si="17"/>
        <v>2601618.7784898132</v>
      </c>
      <c r="I58" s="330">
        <f t="shared" si="17"/>
        <v>3233287.0955313151</v>
      </c>
      <c r="J58" s="330">
        <f t="shared" si="17"/>
        <v>3233287.0955313151</v>
      </c>
    </row>
    <row r="59" spans="1:10" ht="15.75" thickBot="1">
      <c r="A59" s="1413" t="s">
        <v>12</v>
      </c>
      <c r="B59" s="1414"/>
      <c r="C59" s="190">
        <f>SUM(C53:C58)</f>
        <v>41957630.974008098</v>
      </c>
      <c r="D59" s="190">
        <f t="shared" ref="D59:J59" si="18">SUM(D53:D58)</f>
        <v>41957630.974008098</v>
      </c>
      <c r="E59" s="190">
        <f t="shared" si="18"/>
        <v>50888350.651843265</v>
      </c>
      <c r="F59" s="190">
        <f t="shared" si="18"/>
        <v>50888350.651843265</v>
      </c>
      <c r="G59" s="190">
        <f t="shared" si="18"/>
        <v>65040469.462245323</v>
      </c>
      <c r="H59" s="190">
        <f t="shared" si="18"/>
        <v>65040469.462245323</v>
      </c>
      <c r="I59" s="190">
        <f t="shared" si="18"/>
        <v>80832177.38828288</v>
      </c>
      <c r="J59" s="190">
        <f t="shared" si="18"/>
        <v>80832177.38828288</v>
      </c>
    </row>
    <row r="60" spans="1:10" ht="24" customHeight="1" thickBot="1">
      <c r="A60" s="1489" t="s">
        <v>602</v>
      </c>
      <c r="B60" s="1490"/>
      <c r="C60" s="820">
        <f>SUM(C59,C51)</f>
        <v>86393220.667519003</v>
      </c>
      <c r="D60" s="821">
        <f t="shared" ref="D60:J60" si="19">SUM(D59,D51)</f>
        <v>82593660.937367439</v>
      </c>
      <c r="E60" s="821">
        <f t="shared" si="19"/>
        <v>108412507.41490097</v>
      </c>
      <c r="F60" s="821">
        <f t="shared" si="19"/>
        <v>103486679.093227</v>
      </c>
      <c r="G60" s="821">
        <f t="shared" si="19"/>
        <v>172985736.91335922</v>
      </c>
      <c r="H60" s="821">
        <f t="shared" si="19"/>
        <v>163152845.86555529</v>
      </c>
      <c r="I60" s="821">
        <f t="shared" si="19"/>
        <v>223138950.45583153</v>
      </c>
      <c r="J60" s="822">
        <f t="shared" si="19"/>
        <v>209888960.14685968</v>
      </c>
    </row>
    <row r="61" spans="1:10">
      <c r="A61" s="24"/>
      <c r="B61" s="24"/>
    </row>
  </sheetData>
  <mergeCells count="58">
    <mergeCell ref="A54:B54"/>
    <mergeCell ref="A55:B55"/>
    <mergeCell ref="A60:B60"/>
    <mergeCell ref="A59:B59"/>
    <mergeCell ref="A51:B51"/>
    <mergeCell ref="A52:B52"/>
    <mergeCell ref="A53:B53"/>
    <mergeCell ref="A46:B46"/>
    <mergeCell ref="A42:B42"/>
    <mergeCell ref="A43:B43"/>
    <mergeCell ref="A44:B44"/>
    <mergeCell ref="A35:B35"/>
    <mergeCell ref="A36:B36"/>
    <mergeCell ref="A37:B37"/>
    <mergeCell ref="A38:B38"/>
    <mergeCell ref="A39:B39"/>
    <mergeCell ref="A45:B45"/>
    <mergeCell ref="A40:B40"/>
    <mergeCell ref="A41:B41"/>
    <mergeCell ref="A22:B22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7:B17"/>
    <mergeCell ref="A18:B18"/>
    <mergeCell ref="A19:B19"/>
    <mergeCell ref="A20:B20"/>
    <mergeCell ref="A21:B21"/>
    <mergeCell ref="A13:B13"/>
    <mergeCell ref="B1:H2"/>
    <mergeCell ref="A15:B15"/>
    <mergeCell ref="A16:B16"/>
    <mergeCell ref="B3:H3"/>
    <mergeCell ref="I1:J1"/>
    <mergeCell ref="I2:J2"/>
    <mergeCell ref="I3:J3"/>
    <mergeCell ref="A14:B14"/>
    <mergeCell ref="A1:A3"/>
    <mergeCell ref="A5:J5"/>
    <mergeCell ref="A6:J6"/>
    <mergeCell ref="A7:B7"/>
    <mergeCell ref="C7:D7"/>
    <mergeCell ref="E7:F7"/>
    <mergeCell ref="G7:H7"/>
    <mergeCell ref="I7:J7"/>
    <mergeCell ref="A8:B9"/>
    <mergeCell ref="A10:B10"/>
    <mergeCell ref="A11:B11"/>
    <mergeCell ref="A12:B12"/>
  </mergeCells>
  <pageMargins left="0.7" right="0.7" top="0.75" bottom="0.75" header="0.3" footer="0.3"/>
  <pageSetup orientation="portrait" r:id="rId1"/>
  <ignoredErrors>
    <ignoredError sqref="D41 F41 H41 H35 D35:F35 D29 H25 D25 D15:H17 D19:H19 D12:H12 D33 C54 D53:H55 F29 F33 H3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pane ySplit="4" topLeftCell="A30" activePane="bottomLeft" state="frozen"/>
      <selection pane="bottomLeft" activeCell="E46" sqref="E46"/>
    </sheetView>
  </sheetViews>
  <sheetFormatPr baseColWidth="10" defaultRowHeight="15"/>
  <cols>
    <col min="1" max="1" width="26" customWidth="1"/>
    <col min="2" max="2" width="18" customWidth="1"/>
    <col min="3" max="5" width="15.7109375" customWidth="1"/>
    <col min="6" max="6" width="24.7109375" customWidth="1"/>
  </cols>
  <sheetData>
    <row r="1" spans="1:6" ht="16.5" customHeight="1">
      <c r="A1" s="1197" t="s">
        <v>167</v>
      </c>
      <c r="B1" s="1535" t="s">
        <v>337</v>
      </c>
      <c r="C1" s="1536"/>
      <c r="D1" s="1536"/>
      <c r="E1" s="1537"/>
      <c r="F1" s="829" t="s">
        <v>479</v>
      </c>
    </row>
    <row r="2" spans="1:6" ht="20.25" customHeight="1">
      <c r="A2" s="1198"/>
      <c r="B2" s="1538"/>
      <c r="C2" s="1539"/>
      <c r="D2" s="1539"/>
      <c r="E2" s="1540"/>
      <c r="F2" s="829" t="s">
        <v>593</v>
      </c>
    </row>
    <row r="3" spans="1:6" ht="24.75" customHeight="1">
      <c r="A3" s="1532"/>
      <c r="B3" s="1541" t="s">
        <v>478</v>
      </c>
      <c r="C3" s="1542"/>
      <c r="D3" s="1542"/>
      <c r="E3" s="1543"/>
      <c r="F3" s="830">
        <v>41959</v>
      </c>
    </row>
    <row r="4" spans="1:6">
      <c r="A4" s="1533" t="s">
        <v>31</v>
      </c>
      <c r="B4" s="1534"/>
      <c r="C4" s="331" t="s">
        <v>0</v>
      </c>
      <c r="D4" s="331" t="s">
        <v>1</v>
      </c>
      <c r="E4" s="331" t="s">
        <v>2</v>
      </c>
      <c r="F4" s="331" t="s">
        <v>3</v>
      </c>
    </row>
    <row r="5" spans="1:6" ht="11.25" customHeight="1">
      <c r="A5" s="1528"/>
      <c r="B5" s="1529"/>
      <c r="C5" s="209"/>
      <c r="D5" s="209"/>
      <c r="E5" s="209"/>
      <c r="F5" s="209"/>
    </row>
    <row r="6" spans="1:6" ht="9.75" customHeight="1">
      <c r="A6" s="1530"/>
      <c r="B6" s="1531"/>
      <c r="C6" s="209"/>
      <c r="D6" s="209"/>
      <c r="E6" s="209"/>
      <c r="F6" s="209"/>
    </row>
    <row r="7" spans="1:6">
      <c r="A7" s="332" t="s">
        <v>32</v>
      </c>
      <c r="B7" s="332"/>
      <c r="C7" s="209"/>
      <c r="D7" s="209"/>
      <c r="E7" s="209"/>
      <c r="F7" s="209"/>
    </row>
    <row r="8" spans="1:6">
      <c r="A8" s="1526" t="s">
        <v>33</v>
      </c>
      <c r="B8" s="1527"/>
      <c r="C8" s="178"/>
      <c r="D8" s="178"/>
      <c r="E8" s="178"/>
      <c r="F8" s="178"/>
    </row>
    <row r="9" spans="1:6">
      <c r="A9" s="1524" t="s">
        <v>36</v>
      </c>
      <c r="B9" s="1525"/>
      <c r="C9" s="178">
        <f>'03-APU-2014'!D129</f>
        <v>265686.27339793002</v>
      </c>
      <c r="D9" s="178">
        <f>'03-APU-2014'!E129</f>
        <v>265686.27339793002</v>
      </c>
      <c r="E9" s="178">
        <f>'03-APU-2014'!F129</f>
        <v>265686.27339793002</v>
      </c>
      <c r="F9" s="178">
        <f>'03-APU-2014'!G129</f>
        <v>265686.27339793002</v>
      </c>
    </row>
    <row r="10" spans="1:6">
      <c r="A10" s="1524"/>
      <c r="B10" s="1525"/>
      <c r="C10" s="178"/>
      <c r="D10" s="178"/>
      <c r="E10" s="178"/>
      <c r="F10" s="178"/>
    </row>
    <row r="11" spans="1:6">
      <c r="A11" s="1526" t="s">
        <v>37</v>
      </c>
      <c r="B11" s="1527"/>
      <c r="C11" s="178"/>
      <c r="D11" s="178"/>
      <c r="E11" s="178"/>
      <c r="F11" s="178"/>
    </row>
    <row r="12" spans="1:6">
      <c r="A12" s="1524" t="s">
        <v>38</v>
      </c>
      <c r="B12" s="1525"/>
      <c r="C12" s="178">
        <f>'03-APU-2014'!D144/1.5</f>
        <v>316402.11991884228</v>
      </c>
      <c r="D12" s="178">
        <f>'03-APU-2014'!E144/1.5</f>
        <v>316402.11991884228</v>
      </c>
      <c r="E12" s="178">
        <f>'03-APU-2014'!F144/1.5</f>
        <v>316402.11991884228</v>
      </c>
      <c r="F12" s="178">
        <f>'03-APU-2014'!G144/1.5</f>
        <v>316402.11991884228</v>
      </c>
    </row>
    <row r="13" spans="1:6">
      <c r="A13" s="1524" t="s">
        <v>78</v>
      </c>
      <c r="B13" s="1525"/>
      <c r="C13" s="178">
        <f>SUM('03-APU-2014'!D151,'03-APU-2014'!D153:D155,'03-APU-2014'!D158)/2</f>
        <v>237301.58993913172</v>
      </c>
      <c r="D13" s="178">
        <f>SUM('03-APU-2014'!E151,'03-APU-2014'!E153:E155,'03-APU-2014'!E158)/2</f>
        <v>237301.58993913172</v>
      </c>
      <c r="E13" s="178">
        <f>SUM('03-APU-2014'!F151,'03-APU-2014'!F153:F155,'03-APU-2014'!F158)/2</f>
        <v>237301.58993913172</v>
      </c>
      <c r="F13" s="178">
        <f>SUM('03-APU-2014'!G151,'03-APU-2014'!G153:G155,'03-APU-2014'!G158)/2</f>
        <v>237301.58993913172</v>
      </c>
    </row>
    <row r="14" spans="1:6">
      <c r="A14" s="1524" t="s">
        <v>40</v>
      </c>
      <c r="B14" s="1525"/>
      <c r="C14" s="178">
        <f>'03-APU-2014'!D176/2</f>
        <v>298497.68353937007</v>
      </c>
      <c r="D14" s="178">
        <f>'03-APU-2014'!E176/2</f>
        <v>298497.68353937007</v>
      </c>
      <c r="E14" s="178">
        <f>'03-APU-2014'!F176/2</f>
        <v>298497.68353937007</v>
      </c>
      <c r="F14" s="178">
        <f>'03-APU-2014'!G176/2</f>
        <v>298497.68353937007</v>
      </c>
    </row>
    <row r="15" spans="1:6">
      <c r="A15" s="1524"/>
      <c r="B15" s="1525"/>
      <c r="C15" s="178"/>
      <c r="D15" s="178"/>
      <c r="E15" s="178"/>
      <c r="F15" s="178"/>
    </row>
    <row r="16" spans="1:6">
      <c r="A16" s="1526" t="s">
        <v>41</v>
      </c>
      <c r="B16" s="1527"/>
      <c r="C16" s="178">
        <f>'02-HH-2014'!$G$50</f>
        <v>438235.66061019996</v>
      </c>
      <c r="D16" s="178">
        <f>'02-HH-2014'!$G$50</f>
        <v>438235.66061019996</v>
      </c>
      <c r="E16" s="178">
        <f>'02-HH-2014'!$G$50</f>
        <v>438235.66061019996</v>
      </c>
      <c r="F16" s="178">
        <f>'02-HH-2014'!$G$50</f>
        <v>438235.66061019996</v>
      </c>
    </row>
    <row r="17" spans="1:6">
      <c r="A17" s="1425"/>
      <c r="B17" s="1426"/>
      <c r="C17" s="178"/>
      <c r="D17" s="178"/>
      <c r="E17" s="178"/>
      <c r="F17" s="178"/>
    </row>
    <row r="18" spans="1:6">
      <c r="A18" s="1526" t="s">
        <v>597</v>
      </c>
      <c r="B18" s="1527"/>
      <c r="C18" s="178">
        <f>'03-APU-2014'!D66</f>
        <v>70000</v>
      </c>
      <c r="D18" s="178">
        <f>'03-APU-2014'!E66</f>
        <v>70000</v>
      </c>
      <c r="E18" s="178">
        <f>'03-APU-2014'!F66</f>
        <v>70000</v>
      </c>
      <c r="F18" s="178">
        <f>'03-APU-2014'!G66</f>
        <v>70000</v>
      </c>
    </row>
    <row r="19" spans="1:6">
      <c r="A19" s="1425"/>
      <c r="B19" s="1426"/>
      <c r="C19" s="178"/>
      <c r="D19" s="178"/>
      <c r="E19" s="178"/>
      <c r="F19" s="178"/>
    </row>
    <row r="20" spans="1:6">
      <c r="A20" s="1544" t="s">
        <v>12</v>
      </c>
      <c r="B20" s="1414"/>
      <c r="C20" s="641">
        <f>SUM(C9:C19)</f>
        <v>1626123.3274054741</v>
      </c>
      <c r="D20" s="641">
        <f t="shared" ref="D20:F20" si="0">SUM(D9:D19)</f>
        <v>1626123.3274054741</v>
      </c>
      <c r="E20" s="641">
        <f t="shared" si="0"/>
        <v>1626123.3274054741</v>
      </c>
      <c r="F20" s="641">
        <f t="shared" si="0"/>
        <v>1626123.3274054741</v>
      </c>
    </row>
    <row r="21" spans="1:6">
      <c r="A21" s="1545" t="s">
        <v>47</v>
      </c>
      <c r="B21" s="1391"/>
      <c r="C21" s="176"/>
      <c r="D21" s="176"/>
      <c r="E21" s="176"/>
      <c r="F21" s="176"/>
    </row>
    <row r="22" spans="1:6">
      <c r="A22" s="1546" t="s">
        <v>109</v>
      </c>
      <c r="B22" s="1387"/>
      <c r="C22" s="176">
        <f>'03-APU-2014'!D220</f>
        <v>188506</v>
      </c>
      <c r="D22" s="176">
        <f>'03-APU-2014'!E220</f>
        <v>188506</v>
      </c>
      <c r="E22" s="176">
        <f>'03-APU-2014'!F220</f>
        <v>188506</v>
      </c>
      <c r="F22" s="176">
        <f>'03-APU-2014'!G220</f>
        <v>408576.75876240002</v>
      </c>
    </row>
    <row r="23" spans="1:6">
      <c r="A23" s="1319"/>
      <c r="B23" s="1320"/>
      <c r="C23" s="4"/>
      <c r="D23" s="4"/>
      <c r="E23" s="4"/>
      <c r="F23" s="4"/>
    </row>
    <row r="24" spans="1:6">
      <c r="A24" s="1544" t="s">
        <v>12</v>
      </c>
      <c r="B24" s="1414"/>
      <c r="C24" s="333">
        <f>C22</f>
        <v>188506</v>
      </c>
      <c r="D24" s="333">
        <f>D22</f>
        <v>188506</v>
      </c>
      <c r="E24" s="333">
        <f>E22</f>
        <v>188506</v>
      </c>
      <c r="F24" s="333">
        <f>F22</f>
        <v>408576.75876240002</v>
      </c>
    </row>
    <row r="25" spans="1:6">
      <c r="A25" s="1545" t="s">
        <v>57</v>
      </c>
      <c r="B25" s="1391"/>
      <c r="C25" s="176"/>
      <c r="D25" s="176"/>
      <c r="E25" s="176"/>
      <c r="F25" s="176"/>
    </row>
    <row r="26" spans="1:6">
      <c r="A26" s="1546" t="s">
        <v>110</v>
      </c>
      <c r="B26" s="1387"/>
      <c r="C26" s="176">
        <f>SUM('03-APU-2014'!D7,'03-APU-2014'!D9,'03-APU-2014'!D12)</f>
        <v>694074.39797866787</v>
      </c>
      <c r="D26" s="176">
        <f>SUM('03-APU-2014'!E7,'03-APU-2014'!E9,'03-APU-2014'!E12)</f>
        <v>694074.39797866787</v>
      </c>
      <c r="E26" s="176">
        <f>SUM('03-APU-2014'!F7,'03-APU-2014'!F9,'03-APU-2014'!F12)</f>
        <v>694074.39797866787</v>
      </c>
      <c r="F26" s="176">
        <f>SUM('03-APU-2014'!G7,'03-APU-2014'!G9,'03-APU-2014'!G12)</f>
        <v>694074.39797866787</v>
      </c>
    </row>
    <row r="27" spans="1:6">
      <c r="A27" s="1546"/>
      <c r="B27" s="1387"/>
      <c r="C27" s="176"/>
      <c r="D27" s="176"/>
      <c r="E27" s="176"/>
      <c r="F27" s="176"/>
    </row>
    <row r="28" spans="1:6">
      <c r="A28" s="1544" t="s">
        <v>12</v>
      </c>
      <c r="B28" s="1414"/>
      <c r="C28" s="333">
        <f>C26</f>
        <v>694074.39797866787</v>
      </c>
      <c r="D28" s="333">
        <f>D26</f>
        <v>694074.39797866787</v>
      </c>
      <c r="E28" s="333">
        <f>E26</f>
        <v>694074.39797866787</v>
      </c>
      <c r="F28" s="333">
        <f>F26</f>
        <v>694074.39797866787</v>
      </c>
    </row>
    <row r="29" spans="1:6">
      <c r="A29" s="1545" t="s">
        <v>62</v>
      </c>
      <c r="B29" s="1391"/>
      <c r="C29" s="176"/>
      <c r="D29" s="176"/>
      <c r="E29" s="176"/>
      <c r="F29" s="176"/>
    </row>
    <row r="30" spans="1:6">
      <c r="A30" s="680" t="s">
        <v>114</v>
      </c>
      <c r="B30" s="197"/>
      <c r="C30" s="176"/>
      <c r="D30" s="176"/>
      <c r="E30" s="176"/>
      <c r="F30" s="176"/>
    </row>
    <row r="31" spans="1:6">
      <c r="A31" s="339" t="s">
        <v>122</v>
      </c>
      <c r="B31" s="197"/>
      <c r="C31" s="176">
        <f>'03-APU-2014'!D481</f>
        <v>264222</v>
      </c>
      <c r="D31" s="176">
        <f>'03-APU-2014'!E481</f>
        <v>440370</v>
      </c>
      <c r="E31" s="176">
        <f>'03-APU-2014'!F481</f>
        <v>675232.95000000007</v>
      </c>
      <c r="F31" s="176">
        <f>'03-APU-2014'!G481</f>
        <v>1614687.9000000001</v>
      </c>
    </row>
    <row r="32" spans="1:6">
      <c r="A32" s="1319"/>
      <c r="B32" s="1320"/>
      <c r="C32" s="4"/>
      <c r="D32" s="4"/>
      <c r="E32" s="4"/>
      <c r="F32" s="4"/>
    </row>
    <row r="33" spans="1:6">
      <c r="A33" s="1544" t="s">
        <v>12</v>
      </c>
      <c r="B33" s="1414"/>
      <c r="C33" s="333">
        <f>SUM(C31)</f>
        <v>264222</v>
      </c>
      <c r="D33" s="333">
        <f t="shared" ref="D33:F33" si="1">SUM(D31)</f>
        <v>440370</v>
      </c>
      <c r="E33" s="333">
        <f t="shared" si="1"/>
        <v>675232.95000000007</v>
      </c>
      <c r="F33" s="333">
        <f t="shared" si="1"/>
        <v>1614687.9000000001</v>
      </c>
    </row>
    <row r="34" spans="1:6" ht="15.75" thickBot="1">
      <c r="A34" s="1321"/>
      <c r="B34" s="900"/>
      <c r="C34" s="9"/>
      <c r="D34" s="9"/>
      <c r="E34" s="9"/>
      <c r="F34" s="9"/>
    </row>
    <row r="35" spans="1:6" ht="15.75" thickBot="1">
      <c r="A35" s="1549" t="s">
        <v>106</v>
      </c>
      <c r="B35" s="1550"/>
      <c r="C35" s="824">
        <f>SUM(C20,C24,C28,C33)</f>
        <v>2772925.7253841422</v>
      </c>
      <c r="D35" s="825">
        <f t="shared" ref="D35:F35" si="2">SUM(D20,D24,D28,D33)</f>
        <v>2949073.7253841422</v>
      </c>
      <c r="E35" s="825">
        <f t="shared" si="2"/>
        <v>3183936.6753841424</v>
      </c>
      <c r="F35" s="823">
        <f t="shared" si="2"/>
        <v>4343462.3841465423</v>
      </c>
    </row>
    <row r="36" spans="1:6">
      <c r="A36" s="286" t="s">
        <v>365</v>
      </c>
      <c r="B36" s="258">
        <v>0.1</v>
      </c>
      <c r="C36" s="328">
        <f>C35*$B$36</f>
        <v>277292.57253841421</v>
      </c>
      <c r="D36" s="328">
        <f t="shared" ref="D36:F36" si="3">D35*$B$36</f>
        <v>294907.37253841426</v>
      </c>
      <c r="E36" s="328">
        <f t="shared" si="3"/>
        <v>318393.66753841424</v>
      </c>
      <c r="F36" s="328">
        <f t="shared" si="3"/>
        <v>434346.23841465428</v>
      </c>
    </row>
    <row r="37" spans="1:6">
      <c r="A37" s="286" t="s">
        <v>439</v>
      </c>
      <c r="B37" s="258">
        <v>0.1</v>
      </c>
      <c r="C37" s="176">
        <f>C35*$B$37</f>
        <v>277292.57253841421</v>
      </c>
      <c r="D37" s="176">
        <f t="shared" ref="D37:F37" si="4">D35*$B$37</f>
        <v>294907.37253841426</v>
      </c>
      <c r="E37" s="176">
        <f t="shared" si="4"/>
        <v>318393.66753841424</v>
      </c>
      <c r="F37" s="176">
        <f t="shared" si="4"/>
        <v>434346.23841465428</v>
      </c>
    </row>
    <row r="38" spans="1:6">
      <c r="A38" s="286" t="s">
        <v>440</v>
      </c>
      <c r="B38" s="258">
        <v>0.05</v>
      </c>
      <c r="C38" s="176">
        <f>C35*$B$38</f>
        <v>138646.28626920711</v>
      </c>
      <c r="D38" s="176">
        <f t="shared" ref="D38:F38" si="5">D35*$B$38</f>
        <v>147453.68626920713</v>
      </c>
      <c r="E38" s="176">
        <f t="shared" si="5"/>
        <v>159196.83376920712</v>
      </c>
      <c r="F38" s="176">
        <f t="shared" si="5"/>
        <v>217173.11920732714</v>
      </c>
    </row>
    <row r="39" spans="1:6">
      <c r="A39" s="286" t="s">
        <v>445</v>
      </c>
      <c r="B39" s="258">
        <v>0.16</v>
      </c>
      <c r="C39" s="176">
        <f>C38*$B$39</f>
        <v>22183.405803073136</v>
      </c>
      <c r="D39" s="176">
        <f t="shared" ref="D39:F39" si="6">D38*$B$39</f>
        <v>23592.589803073141</v>
      </c>
      <c r="E39" s="176">
        <f t="shared" si="6"/>
        <v>25471.493403073138</v>
      </c>
      <c r="F39" s="176">
        <f t="shared" si="6"/>
        <v>34747.699073172342</v>
      </c>
    </row>
    <row r="40" spans="1:6" ht="15.75" thickBot="1">
      <c r="A40" s="1321"/>
      <c r="B40" s="900"/>
      <c r="C40" s="9"/>
      <c r="D40" s="9"/>
      <c r="E40" s="9"/>
      <c r="F40" s="9"/>
    </row>
    <row r="41" spans="1:6" ht="15.75" thickBot="1">
      <c r="A41" s="1547" t="s">
        <v>123</v>
      </c>
      <c r="B41" s="1548"/>
      <c r="C41" s="340">
        <f>SUM(C35:C39)</f>
        <v>3488340.5625332505</v>
      </c>
      <c r="D41" s="340">
        <f t="shared" ref="D41:F41" si="7">SUM(D35:D39)</f>
        <v>3709934.7465332509</v>
      </c>
      <c r="E41" s="340">
        <f t="shared" si="7"/>
        <v>4005392.3376332507</v>
      </c>
      <c r="F41" s="340">
        <f t="shared" si="7"/>
        <v>5464075.6792563507</v>
      </c>
    </row>
    <row r="42" spans="1:6">
      <c r="A42" s="14"/>
      <c r="B42" s="24"/>
    </row>
    <row r="43" spans="1:6">
      <c r="A43" s="14"/>
      <c r="B43" s="24"/>
    </row>
    <row r="45" spans="1:6">
      <c r="C45" s="15"/>
      <c r="D45" s="15"/>
      <c r="E45" s="15"/>
      <c r="F45" s="15"/>
    </row>
  </sheetData>
  <mergeCells count="33">
    <mergeCell ref="A40:B40"/>
    <mergeCell ref="A41:B41"/>
    <mergeCell ref="A34:B34"/>
    <mergeCell ref="A35:B35"/>
    <mergeCell ref="A29:B29"/>
    <mergeCell ref="A32:B32"/>
    <mergeCell ref="A33:B33"/>
    <mergeCell ref="A24:B24"/>
    <mergeCell ref="A25:B25"/>
    <mergeCell ref="A26:B26"/>
    <mergeCell ref="A27:B27"/>
    <mergeCell ref="A28:B28"/>
    <mergeCell ref="A20:B20"/>
    <mergeCell ref="A21:B21"/>
    <mergeCell ref="A22:B22"/>
    <mergeCell ref="A23:B23"/>
    <mergeCell ref="A18:B18"/>
    <mergeCell ref="A19:B19"/>
    <mergeCell ref="A5:B6"/>
    <mergeCell ref="A1:A3"/>
    <mergeCell ref="A4:B4"/>
    <mergeCell ref="B1:E2"/>
    <mergeCell ref="B3:E3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7" right="0.7" top="0.75" bottom="0.75" header="0.3" footer="0.3"/>
  <ignoredErrors>
    <ignoredError sqref="E1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dimension ref="A1:N64"/>
  <sheetViews>
    <sheetView zoomScale="85" zoomScaleNormal="85" workbookViewId="0">
      <pane ySplit="6" topLeftCell="A7" activePane="bottomLeft" state="frozen"/>
      <selection pane="bottomLeft" activeCell="K31" sqref="K31"/>
    </sheetView>
  </sheetViews>
  <sheetFormatPr baseColWidth="10" defaultRowHeight="15"/>
  <cols>
    <col min="1" max="1" width="27.140625" customWidth="1"/>
    <col min="2" max="2" width="35.85546875" customWidth="1"/>
    <col min="3" max="13" width="15.7109375" customWidth="1"/>
  </cols>
  <sheetData>
    <row r="1" spans="1:14" ht="18.75" customHeight="1">
      <c r="A1" s="1399" t="s">
        <v>167</v>
      </c>
      <c r="B1" s="1400"/>
      <c r="C1" s="1394" t="s">
        <v>337</v>
      </c>
      <c r="D1" s="1515"/>
      <c r="E1" s="1515"/>
      <c r="F1" s="1515"/>
      <c r="G1" s="1515"/>
      <c r="H1" s="1515"/>
      <c r="I1" s="1515"/>
      <c r="J1" s="1515"/>
      <c r="K1" s="1605"/>
      <c r="L1" s="1599" t="s">
        <v>579</v>
      </c>
      <c r="M1" s="1600"/>
    </row>
    <row r="2" spans="1:14" ht="19.5" customHeight="1">
      <c r="A2" s="1401"/>
      <c r="B2" s="1402"/>
      <c r="C2" s="1517"/>
      <c r="D2" s="1517"/>
      <c r="E2" s="1517"/>
      <c r="F2" s="1517"/>
      <c r="G2" s="1517"/>
      <c r="H2" s="1517"/>
      <c r="I2" s="1517"/>
      <c r="J2" s="1517"/>
      <c r="K2" s="1606"/>
      <c r="L2" s="1601" t="s">
        <v>564</v>
      </c>
      <c r="M2" s="1602"/>
    </row>
    <row r="3" spans="1:14" ht="20.25" customHeight="1" thickBot="1">
      <c r="A3" s="1592"/>
      <c r="B3" s="1593"/>
      <c r="C3" s="1607" t="s">
        <v>163</v>
      </c>
      <c r="D3" s="1607"/>
      <c r="E3" s="1607"/>
      <c r="F3" s="1607"/>
      <c r="G3" s="1607"/>
      <c r="H3" s="1607"/>
      <c r="I3" s="1607"/>
      <c r="J3" s="1607"/>
      <c r="K3" s="1608"/>
      <c r="L3" s="1603">
        <v>41959</v>
      </c>
      <c r="M3" s="1604"/>
    </row>
    <row r="4" spans="1:14">
      <c r="A4" s="1554" t="s">
        <v>124</v>
      </c>
      <c r="B4" s="1555"/>
      <c r="C4" s="684" t="s">
        <v>160</v>
      </c>
      <c r="D4" s="685" t="s">
        <v>161</v>
      </c>
      <c r="E4" s="685" t="s">
        <v>160</v>
      </c>
      <c r="F4" s="685" t="s">
        <v>161</v>
      </c>
      <c r="G4" s="685" t="s">
        <v>160</v>
      </c>
      <c r="H4" s="685" t="s">
        <v>160</v>
      </c>
      <c r="I4" s="685" t="s">
        <v>160</v>
      </c>
      <c r="J4" s="685" t="s">
        <v>160</v>
      </c>
      <c r="K4" s="685" t="s">
        <v>160</v>
      </c>
      <c r="L4" s="685" t="s">
        <v>162</v>
      </c>
      <c r="M4" s="686" t="s">
        <v>160</v>
      </c>
    </row>
    <row r="5" spans="1:14" s="57" customFormat="1">
      <c r="A5" s="398"/>
      <c r="B5" s="681"/>
      <c r="C5" s="826" t="s">
        <v>419</v>
      </c>
      <c r="D5" s="827"/>
      <c r="E5" s="827"/>
      <c r="F5" s="827"/>
      <c r="G5" s="827"/>
      <c r="H5" s="827"/>
      <c r="I5" s="828"/>
      <c r="J5" s="625" t="s">
        <v>420</v>
      </c>
      <c r="K5" s="625" t="s">
        <v>421</v>
      </c>
      <c r="L5" s="938" t="s">
        <v>422</v>
      </c>
      <c r="M5" s="1551"/>
    </row>
    <row r="6" spans="1:14">
      <c r="A6" s="1556"/>
      <c r="B6" s="1557"/>
      <c r="C6" s="1552" t="s">
        <v>0</v>
      </c>
      <c r="D6" s="1553"/>
      <c r="E6" s="1553" t="s">
        <v>1</v>
      </c>
      <c r="F6" s="1553"/>
      <c r="G6" s="724" t="s">
        <v>2</v>
      </c>
      <c r="H6" s="724" t="s">
        <v>3</v>
      </c>
      <c r="I6" s="628" t="s">
        <v>4</v>
      </c>
      <c r="J6" s="628" t="s">
        <v>5</v>
      </c>
      <c r="K6" s="628" t="s">
        <v>6</v>
      </c>
      <c r="L6" s="628" t="s">
        <v>7</v>
      </c>
      <c r="M6" s="399" t="s">
        <v>8</v>
      </c>
      <c r="N6" s="16"/>
    </row>
    <row r="7" spans="1:14" ht="15.75" thickBot="1">
      <c r="A7" s="1558" t="s">
        <v>125</v>
      </c>
      <c r="B7" s="1559"/>
      <c r="C7" s="687"/>
      <c r="D7" s="400"/>
      <c r="E7" s="400"/>
      <c r="F7" s="400"/>
      <c r="G7" s="400"/>
      <c r="H7" s="400"/>
      <c r="I7" s="400"/>
      <c r="J7" s="400"/>
      <c r="K7" s="400"/>
      <c r="L7" s="400"/>
      <c r="M7" s="401"/>
    </row>
    <row r="8" spans="1:14">
      <c r="A8" s="1164" t="s">
        <v>126</v>
      </c>
      <c r="B8" s="1560"/>
      <c r="C8" s="847"/>
      <c r="D8" s="848"/>
      <c r="E8" s="848"/>
      <c r="F8" s="848"/>
      <c r="G8" s="848"/>
      <c r="H8" s="848"/>
      <c r="I8" s="848"/>
      <c r="J8" s="848"/>
      <c r="K8" s="848"/>
      <c r="L8" s="848"/>
      <c r="M8" s="849"/>
    </row>
    <row r="9" spans="1:14">
      <c r="A9" s="1561" t="s">
        <v>127</v>
      </c>
      <c r="B9" s="1562"/>
      <c r="C9" s="688">
        <f>'02-HH-2014'!G58*2</f>
        <v>377026.74032809085</v>
      </c>
      <c r="D9" s="321">
        <f>'02-HH-2014'!$G$58*2</f>
        <v>377026.74032809085</v>
      </c>
      <c r="E9" s="321">
        <f>'02-HH-2014'!$G$58*2</f>
        <v>377026.74032809085</v>
      </c>
      <c r="F9" s="321">
        <f>'02-HH-2014'!$G$58*2</f>
        <v>377026.74032809085</v>
      </c>
      <c r="G9" s="321">
        <f>'02-HH-2014'!$G$58*2</f>
        <v>377026.74032809085</v>
      </c>
      <c r="H9" s="321">
        <f>'02-HH-2014'!$G$58*2</f>
        <v>377026.74032809085</v>
      </c>
      <c r="I9" s="321">
        <f>'02-HH-2014'!$G$58*2</f>
        <v>377026.74032809085</v>
      </c>
      <c r="J9" s="321">
        <f>'02-HH-2014'!$G$58*3</f>
        <v>565540.11049213633</v>
      </c>
      <c r="K9" s="321">
        <f>'02-HH-2014'!$G$58*4</f>
        <v>754053.48065618169</v>
      </c>
      <c r="L9" s="321">
        <f>'02-HH-2014'!$G$58*5</f>
        <v>942566.85082022706</v>
      </c>
      <c r="M9" s="325">
        <f>'02-HH-2014'!$G$58*5</f>
        <v>942566.85082022706</v>
      </c>
    </row>
    <row r="10" spans="1:14">
      <c r="A10" s="1561" t="s">
        <v>128</v>
      </c>
      <c r="B10" s="1562"/>
      <c r="C10" s="688">
        <f>'03-APU-2014'!D395</f>
        <v>277859.66741869919</v>
      </c>
      <c r="D10" s="321">
        <f>C10</f>
        <v>277859.66741869919</v>
      </c>
      <c r="E10" s="321">
        <f>'03-APU-2014'!E395</f>
        <v>277859.66741869919</v>
      </c>
      <c r="F10" s="321">
        <f>E10</f>
        <v>277859.66741869919</v>
      </c>
      <c r="G10" s="321">
        <f>'03-APU-2014'!F395</f>
        <v>305645.63416056905</v>
      </c>
      <c r="H10" s="321">
        <f>'03-APU-2014'!G395</f>
        <v>305645.63416056905</v>
      </c>
      <c r="I10" s="321">
        <f>'03-APU-2014'!H395</f>
        <v>417058.74499182653</v>
      </c>
      <c r="J10" s="321">
        <f>'03-APU-2014'!I395</f>
        <v>500147.40135365847</v>
      </c>
      <c r="K10" s="321">
        <f>'03-APU-2014'!J395</f>
        <v>500147.40135365847</v>
      </c>
      <c r="L10" s="321">
        <f>'03-APU-2014'!K395</f>
        <v>500147.40135365847</v>
      </c>
      <c r="M10" s="325">
        <f>'03-APU-2014'!L395</f>
        <v>500147.40135365847</v>
      </c>
    </row>
    <row r="11" spans="1:14">
      <c r="A11" s="1561" t="s">
        <v>129</v>
      </c>
      <c r="B11" s="1562"/>
      <c r="C11" s="688">
        <f>'03-APU-2014'!D398</f>
        <v>184000</v>
      </c>
      <c r="D11" s="321">
        <f>C11</f>
        <v>184000</v>
      </c>
      <c r="E11" s="321">
        <f>'03-APU-2014'!E398</f>
        <v>184000</v>
      </c>
      <c r="F11" s="321">
        <f>E11</f>
        <v>184000</v>
      </c>
      <c r="G11" s="321">
        <f>'03-APU-2014'!F398</f>
        <v>184000</v>
      </c>
      <c r="H11" s="321">
        <f>'03-APU-2014'!G398</f>
        <v>184000</v>
      </c>
      <c r="I11" s="321">
        <f>'03-APU-2014'!H398</f>
        <v>220799.99999999997</v>
      </c>
      <c r="J11" s="321">
        <f>'03-APU-2014'!H398</f>
        <v>220799.99999999997</v>
      </c>
      <c r="K11" s="321">
        <f>'03-APU-2014'!I398</f>
        <v>220799.99999999997</v>
      </c>
      <c r="L11" s="321">
        <f>'03-APU-2014'!J398</f>
        <v>220799.99999999997</v>
      </c>
      <c r="M11" s="325">
        <f>'03-APU-2014'!K398</f>
        <v>220799.99999999997</v>
      </c>
    </row>
    <row r="12" spans="1:14">
      <c r="A12" s="1561" t="s">
        <v>77</v>
      </c>
      <c r="B12" s="1562"/>
      <c r="C12" s="688">
        <f>'03-APU-2014'!D401</f>
        <v>465791.88433561003</v>
      </c>
      <c r="D12" s="321">
        <f t="shared" ref="D12:D14" si="0">C12</f>
        <v>465791.88433561003</v>
      </c>
      <c r="E12" s="321">
        <f>'03-APU-2014'!E401</f>
        <v>465791.88433561003</v>
      </c>
      <c r="F12" s="321">
        <f t="shared" ref="F12:F14" si="1">E12</f>
        <v>465791.88433561003</v>
      </c>
      <c r="G12" s="321">
        <f>'03-APU-2014'!F401</f>
        <v>465791.88433561003</v>
      </c>
      <c r="H12" s="321">
        <f>'03-APU-2014'!G401</f>
        <v>465791.88433561003</v>
      </c>
      <c r="I12" s="321">
        <f>'03-APU-2014'!G401</f>
        <v>465791.88433561003</v>
      </c>
      <c r="J12" s="321">
        <f>'03-APU-2014'!H401</f>
        <v>465791.88433561003</v>
      </c>
      <c r="K12" s="321">
        <f>'03-APU-2014'!I401</f>
        <v>465791.88433561003</v>
      </c>
      <c r="L12" s="321">
        <f>'03-APU-2014'!J401</f>
        <v>465791.88433561003</v>
      </c>
      <c r="M12" s="325">
        <f>'03-APU-2014'!K401</f>
        <v>465791.88433561003</v>
      </c>
    </row>
    <row r="13" spans="1:14">
      <c r="A13" s="1561" t="s">
        <v>130</v>
      </c>
      <c r="B13" s="1562"/>
      <c r="C13" s="688">
        <f>'03-APU-2014'!D404</f>
        <v>2019328.9783335696</v>
      </c>
      <c r="D13" s="321">
        <f t="shared" si="0"/>
        <v>2019328.9783335696</v>
      </c>
      <c r="E13" s="321">
        <f>'03-APU-2014'!E404</f>
        <v>2019328.9783335696</v>
      </c>
      <c r="F13" s="321">
        <f t="shared" si="1"/>
        <v>2019328.9783335696</v>
      </c>
      <c r="G13" s="321">
        <f>'03-APU-2014'!F404</f>
        <v>2019328.9783335696</v>
      </c>
      <c r="H13" s="321">
        <f>'03-APU-2014'!F404</f>
        <v>2019328.9783335696</v>
      </c>
      <c r="I13" s="321">
        <f>'03-APU-2014'!G404</f>
        <v>2625127.6718336404</v>
      </c>
      <c r="J13" s="321">
        <f>'03-APU-2014'!H404</f>
        <v>3028993.4675003542</v>
      </c>
      <c r="K13" s="321">
        <f>'03-APU-2014'!I404</f>
        <v>3028993.4675003542</v>
      </c>
      <c r="L13" s="321">
        <f>'03-APU-2014'!J404</f>
        <v>3028993.4675003542</v>
      </c>
      <c r="M13" s="325">
        <f>'03-APU-2014'!K404</f>
        <v>3028993.4675003542</v>
      </c>
    </row>
    <row r="14" spans="1:14">
      <c r="A14" s="1561" t="s">
        <v>131</v>
      </c>
      <c r="B14" s="1562"/>
      <c r="C14" s="688">
        <f>'03-APU-2014'!D407</f>
        <v>2019328.9783335696</v>
      </c>
      <c r="D14" s="321">
        <f t="shared" si="0"/>
        <v>2019328.9783335696</v>
      </c>
      <c r="E14" s="321">
        <f>'03-APU-2014'!E407</f>
        <v>2019328.9783335696</v>
      </c>
      <c r="F14" s="321">
        <f t="shared" si="1"/>
        <v>2019328.9783335696</v>
      </c>
      <c r="G14" s="321">
        <f>'03-APU-2014'!F407</f>
        <v>2019328.9783335696</v>
      </c>
      <c r="H14" s="321">
        <f>'03-APU-2014'!F407</f>
        <v>2019328.9783335696</v>
      </c>
      <c r="I14" s="321">
        <f>'03-APU-2014'!G407</f>
        <v>3028993.4675003542</v>
      </c>
      <c r="J14" s="321">
        <f>'03-APU-2014'!H407</f>
        <v>3028993.4675003542</v>
      </c>
      <c r="K14" s="321">
        <f>'03-APU-2014'!I407</f>
        <v>3028993.4675003542</v>
      </c>
      <c r="L14" s="321">
        <f>'03-APU-2014'!J407</f>
        <v>3028993.4675003542</v>
      </c>
      <c r="M14" s="325">
        <f>'03-APU-2014'!K407</f>
        <v>3028993.4675003542</v>
      </c>
    </row>
    <row r="15" spans="1:14">
      <c r="A15" s="1563"/>
      <c r="B15" s="1564"/>
      <c r="C15" s="688"/>
      <c r="D15" s="321"/>
      <c r="E15" s="321"/>
      <c r="F15" s="321"/>
      <c r="G15" s="321"/>
      <c r="H15" s="321"/>
      <c r="I15" s="321"/>
      <c r="J15" s="321"/>
      <c r="K15" s="321"/>
      <c r="L15" s="321"/>
      <c r="M15" s="325"/>
    </row>
    <row r="16" spans="1:14">
      <c r="A16" s="402" t="s">
        <v>132</v>
      </c>
      <c r="B16" s="682"/>
      <c r="C16" s="688">
        <f>'03-APU-2014'!D203</f>
        <v>387280</v>
      </c>
      <c r="D16" s="321">
        <f>C16</f>
        <v>387280</v>
      </c>
      <c r="E16" s="321">
        <f>'03-APU-2014'!E203</f>
        <v>387280</v>
      </c>
      <c r="F16" s="321">
        <f>E16</f>
        <v>387280</v>
      </c>
      <c r="G16" s="321">
        <f>'03-APU-2014'!F203</f>
        <v>387280</v>
      </c>
      <c r="H16" s="321">
        <f>'03-APU-2014'!G203</f>
        <v>387280</v>
      </c>
      <c r="I16" s="321">
        <f>'03-APU-2014'!H203</f>
        <v>387280</v>
      </c>
      <c r="J16" s="321">
        <f>'03-APU-2014'!I203</f>
        <v>387280</v>
      </c>
      <c r="K16" s="321">
        <f>'03-APU-2014'!J203</f>
        <v>387280</v>
      </c>
      <c r="L16" s="321">
        <f>'03-APU-2014'!K203</f>
        <v>387280</v>
      </c>
      <c r="M16" s="325">
        <f>'03-APU-2014'!L203</f>
        <v>387280</v>
      </c>
    </row>
    <row r="17" spans="1:13">
      <c r="A17" s="1563"/>
      <c r="B17" s="1564"/>
      <c r="C17" s="688"/>
      <c r="D17" s="321"/>
      <c r="E17" s="321"/>
      <c r="F17" s="321"/>
      <c r="G17" s="321"/>
      <c r="H17" s="321"/>
      <c r="I17" s="321"/>
      <c r="J17" s="321"/>
      <c r="K17" s="321"/>
      <c r="L17" s="321"/>
      <c r="M17" s="325"/>
    </row>
    <row r="18" spans="1:13">
      <c r="A18" s="1164" t="s">
        <v>632</v>
      </c>
      <c r="B18" s="1560"/>
      <c r="C18" s="411">
        <f>'03-APU-2014'!D65-'03-APU-2014'!D61-((1/2)*'03-APU-2014'!D64)</f>
        <v>1357467.0000000002</v>
      </c>
      <c r="D18" s="321">
        <f>'03-APU-2014'!E65-'03-APU-2014'!E61-((1/2)*'03-APU-2014'!E64)</f>
        <v>1357467.0000000002</v>
      </c>
      <c r="E18" s="321">
        <f>'03-APU-2014'!F65-'03-APU-2014'!F61-((1/2)*'03-APU-2014'!F64)</f>
        <v>1357467.0000000002</v>
      </c>
      <c r="F18" s="321">
        <f>'03-APU-2014'!G65-'03-APU-2014'!G61-((1/2)*'03-APU-2014'!G64)</f>
        <v>1357467.0000000002</v>
      </c>
      <c r="G18" s="321">
        <f>'03-APU-2014'!H65-'03-APU-2014'!H61-((1/2)*'03-APU-2014'!H64)</f>
        <v>1357467.0000000002</v>
      </c>
      <c r="H18" s="321">
        <f>'03-APU-2014'!I65-'03-APU-2014'!I61-((1/2)*'03-APU-2014'!I64)</f>
        <v>1383508.6666666667</v>
      </c>
      <c r="I18" s="321">
        <f>'03-APU-2014'!J65-'03-APU-2014'!J61-((1/2)*'03-APU-2014'!J64)</f>
        <v>1391842.0000000002</v>
      </c>
      <c r="J18" s="321">
        <f>'03-APU-2014'!K65-'03-APU-2014'!K61-((1/2)*'03-APU-2014'!K64)</f>
        <v>1409550.3333333335</v>
      </c>
      <c r="K18" s="321">
        <f>'03-APU-2014'!L65-'03-APU-2014'!L61-((1/2)*'03-APU-2014'!L64)</f>
        <v>1427258.6666666667</v>
      </c>
      <c r="L18" s="321">
        <f>'03-APU-2014'!M65-'03-APU-2014'!M61-((1/2)*'03-APU-2014'!M64)</f>
        <v>1437883.6666666667</v>
      </c>
      <c r="M18" s="410">
        <f>'03-APU-2014'!N65-'03-APU-2014'!N61-((1/2)*'03-APU-2014'!N64)</f>
        <v>1488716.9999999995</v>
      </c>
    </row>
    <row r="19" spans="1:13" ht="15.75" thickBot="1">
      <c r="A19" s="1513"/>
      <c r="B19" s="1573"/>
      <c r="C19" s="850"/>
      <c r="D19" s="851"/>
      <c r="E19" s="851"/>
      <c r="F19" s="851"/>
      <c r="G19" s="851"/>
      <c r="H19" s="851"/>
      <c r="I19" s="851"/>
      <c r="J19" s="851"/>
      <c r="K19" s="851"/>
      <c r="L19" s="851"/>
      <c r="M19" s="852"/>
    </row>
    <row r="20" spans="1:13" ht="15.75" thickBot="1">
      <c r="A20" s="1574" t="s">
        <v>46</v>
      </c>
      <c r="B20" s="1575"/>
      <c r="C20" s="701">
        <f>SUM(C9,C10,C11,C12,C13,C14,C16,C18)</f>
        <v>7088083.2487495393</v>
      </c>
      <c r="D20" s="702">
        <f t="shared" ref="D20:M20" si="2">SUM(D9,D10,D11,D12,D13,D14,D16,D18)</f>
        <v>7088083.2487495393</v>
      </c>
      <c r="E20" s="702">
        <f t="shared" si="2"/>
        <v>7088083.2487495393</v>
      </c>
      <c r="F20" s="702">
        <f t="shared" si="2"/>
        <v>7088083.2487495393</v>
      </c>
      <c r="G20" s="702">
        <f t="shared" si="2"/>
        <v>7115869.2154914085</v>
      </c>
      <c r="H20" s="702">
        <f t="shared" si="2"/>
        <v>7141910.8821580755</v>
      </c>
      <c r="I20" s="702">
        <f t="shared" si="2"/>
        <v>8913920.5089895222</v>
      </c>
      <c r="J20" s="702">
        <f t="shared" si="2"/>
        <v>9607096.6645154469</v>
      </c>
      <c r="K20" s="702">
        <f t="shared" si="2"/>
        <v>9813318.368012825</v>
      </c>
      <c r="L20" s="702">
        <f t="shared" si="2"/>
        <v>10012456.738176869</v>
      </c>
      <c r="M20" s="703">
        <f t="shared" si="2"/>
        <v>10063290.071510203</v>
      </c>
    </row>
    <row r="21" spans="1:13">
      <c r="A21" s="1576" t="s">
        <v>47</v>
      </c>
      <c r="B21" s="1577"/>
      <c r="C21" s="403"/>
      <c r="D21" s="404"/>
      <c r="E21" s="404"/>
      <c r="F21" s="404"/>
      <c r="G21" s="404"/>
      <c r="H21" s="404"/>
      <c r="I21" s="404"/>
      <c r="J21" s="404"/>
      <c r="K21" s="404"/>
      <c r="L21" s="404"/>
      <c r="M21" s="405"/>
    </row>
    <row r="22" spans="1:13">
      <c r="A22" s="1565" t="s">
        <v>133</v>
      </c>
      <c r="B22" s="1007"/>
      <c r="C22" s="688">
        <f>'03-APU-2014'!D410</f>
        <v>201932.89783335695</v>
      </c>
      <c r="D22" s="321">
        <f>C22</f>
        <v>201932.89783335695</v>
      </c>
      <c r="E22" s="321">
        <f>'03-APU-2014'!E410</f>
        <v>201932.89783335695</v>
      </c>
      <c r="F22" s="321">
        <f>E22</f>
        <v>201932.89783335695</v>
      </c>
      <c r="G22" s="321">
        <f>'03-APU-2014'!F410</f>
        <v>201932.89783335695</v>
      </c>
      <c r="H22" s="321">
        <f>'03-APU-2014'!G410</f>
        <v>269243.86377780925</v>
      </c>
      <c r="I22" s="321">
        <f>'03-APU-2014'!H410</f>
        <v>269243.86377780925</v>
      </c>
      <c r="J22" s="321">
        <f>'03-APU-2014'!I410</f>
        <v>336554.82972226158</v>
      </c>
      <c r="K22" s="321">
        <f>'03-APU-2014'!J410</f>
        <v>336554.82972226158</v>
      </c>
      <c r="L22" s="321">
        <f>'03-APU-2014'!K410</f>
        <v>336554.82972226158</v>
      </c>
      <c r="M22" s="325">
        <f>'03-APU-2014'!L410</f>
        <v>336554.82972226158</v>
      </c>
    </row>
    <row r="23" spans="1:13">
      <c r="A23" s="1565" t="s">
        <v>134</v>
      </c>
      <c r="B23" s="1007"/>
      <c r="C23" s="688"/>
      <c r="D23" s="321"/>
      <c r="E23" s="321"/>
      <c r="F23" s="321"/>
      <c r="G23" s="321">
        <f>'03-APU-2014'!F413</f>
        <v>105000</v>
      </c>
      <c r="H23" s="321">
        <f>'03-APU-2014'!G413</f>
        <v>105000</v>
      </c>
      <c r="I23" s="321">
        <f>'03-APU-2014'!H413</f>
        <v>157500</v>
      </c>
      <c r="J23" s="321">
        <f>'03-APU-2014'!I413</f>
        <v>157500</v>
      </c>
      <c r="K23" s="321">
        <f>'03-APU-2014'!J413</f>
        <v>157500</v>
      </c>
      <c r="L23" s="321">
        <f>'03-APU-2014'!K413</f>
        <v>157500</v>
      </c>
      <c r="M23" s="325">
        <f>'03-APU-2014'!L413</f>
        <v>157500</v>
      </c>
    </row>
    <row r="24" spans="1:13" s="57" customFormat="1">
      <c r="A24" s="1570" t="s">
        <v>577</v>
      </c>
      <c r="B24" s="1151"/>
      <c r="C24" s="688"/>
      <c r="D24" s="321"/>
      <c r="E24" s="321"/>
      <c r="F24" s="321"/>
      <c r="G24" s="321">
        <f>'03-APU-2014'!F417</f>
        <v>160000</v>
      </c>
      <c r="H24" s="321">
        <f>'03-APU-2014'!G416</f>
        <v>215395.09102224742</v>
      </c>
      <c r="I24" s="321">
        <f>'03-APU-2014'!H417</f>
        <v>160000</v>
      </c>
      <c r="J24" s="321">
        <f>'03-APU-2014'!I417</f>
        <v>240000</v>
      </c>
      <c r="K24" s="321">
        <f>'03-APU-2014'!J417</f>
        <v>240000</v>
      </c>
      <c r="L24" s="321">
        <f>'03-APU-2014'!K417</f>
        <v>240000</v>
      </c>
      <c r="M24" s="325">
        <f>'03-APU-2014'!L417</f>
        <v>240000</v>
      </c>
    </row>
    <row r="25" spans="1:13" ht="15.75" thickBot="1">
      <c r="A25" s="1566"/>
      <c r="B25" s="1567"/>
      <c r="C25" s="689"/>
      <c r="D25" s="408"/>
      <c r="E25" s="408"/>
      <c r="F25" s="408"/>
      <c r="G25" s="408"/>
      <c r="H25" s="408"/>
      <c r="I25" s="408"/>
      <c r="J25" s="408"/>
      <c r="K25" s="408"/>
      <c r="L25" s="408"/>
      <c r="M25" s="409"/>
    </row>
    <row r="26" spans="1:13">
      <c r="A26" s="1568" t="s">
        <v>46</v>
      </c>
      <c r="B26" s="1569"/>
      <c r="C26" s="704">
        <f>SUM(C22:C25)</f>
        <v>201932.89783335695</v>
      </c>
      <c r="D26" s="705">
        <f t="shared" ref="D26:M26" si="3">SUM(D22:D25)</f>
        <v>201932.89783335695</v>
      </c>
      <c r="E26" s="705">
        <f t="shared" si="3"/>
        <v>201932.89783335695</v>
      </c>
      <c r="F26" s="705">
        <f t="shared" si="3"/>
        <v>201932.89783335695</v>
      </c>
      <c r="G26" s="705">
        <f t="shared" si="3"/>
        <v>466932.89783335698</v>
      </c>
      <c r="H26" s="705">
        <f t="shared" si="3"/>
        <v>589638.95480005664</v>
      </c>
      <c r="I26" s="705">
        <f t="shared" si="3"/>
        <v>586743.86377780931</v>
      </c>
      <c r="J26" s="705">
        <f t="shared" si="3"/>
        <v>734054.82972226152</v>
      </c>
      <c r="K26" s="705">
        <f t="shared" si="3"/>
        <v>734054.82972226152</v>
      </c>
      <c r="L26" s="705">
        <f t="shared" si="3"/>
        <v>734054.82972226152</v>
      </c>
      <c r="M26" s="706">
        <f t="shared" si="3"/>
        <v>734054.82972226152</v>
      </c>
    </row>
    <row r="27" spans="1:13" ht="15.75" thickBot="1">
      <c r="A27" s="1571" t="s">
        <v>62</v>
      </c>
      <c r="B27" s="1572"/>
      <c r="C27" s="690"/>
      <c r="D27" s="8"/>
      <c r="E27" s="8"/>
      <c r="F27" s="8"/>
      <c r="G27" s="8"/>
      <c r="H27" s="8"/>
      <c r="I27" s="8"/>
      <c r="J27" s="8"/>
      <c r="K27" s="8"/>
      <c r="L27" s="8"/>
      <c r="M27" s="280"/>
    </row>
    <row r="28" spans="1:13">
      <c r="A28" s="1580" t="s">
        <v>135</v>
      </c>
      <c r="B28" s="1581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9"/>
    </row>
    <row r="29" spans="1:13">
      <c r="A29" s="1565" t="s">
        <v>136</v>
      </c>
      <c r="B29" s="1007"/>
      <c r="C29" s="688">
        <f>'03-APU-2014'!D419</f>
        <v>7269.5843220008501</v>
      </c>
      <c r="D29" s="321">
        <f>C29</f>
        <v>7269.5843220008501</v>
      </c>
      <c r="E29" s="321">
        <f>'03-APU-2014'!E419</f>
        <v>7269.5843220008501</v>
      </c>
      <c r="F29" s="321">
        <f>E29</f>
        <v>7269.5843220008501</v>
      </c>
      <c r="G29" s="321">
        <f>'03-APU-2014'!G419</f>
        <v>19627.877669402296</v>
      </c>
      <c r="H29" s="321">
        <f>'03-APU-2014'!G419</f>
        <v>19627.877669402296</v>
      </c>
      <c r="I29" s="321">
        <f>'03-APU-2014'!H419</f>
        <v>34894.004745604077</v>
      </c>
      <c r="J29" s="321">
        <f>'03-APU-2014'!I419</f>
        <v>34894.004745604077</v>
      </c>
      <c r="K29" s="321">
        <f>'03-APU-2014'!J419</f>
        <v>54521.882415006374</v>
      </c>
      <c r="L29" s="321">
        <f>'03-APU-2014'!K419</f>
        <v>54521.882415006374</v>
      </c>
      <c r="M29" s="325">
        <f>'03-APU-2014'!L419</f>
        <v>54521.882415006374</v>
      </c>
    </row>
    <row r="30" spans="1:13">
      <c r="A30" s="1565" t="s">
        <v>137</v>
      </c>
      <c r="B30" s="1007"/>
      <c r="C30" s="688">
        <f>'03-APU-2014'!D422</f>
        <v>20596.051679160919</v>
      </c>
      <c r="D30" s="321">
        <f>C30</f>
        <v>20596.051679160919</v>
      </c>
      <c r="E30" s="321">
        <f>'03-APU-2014'!E422</f>
        <v>20596.051679160919</v>
      </c>
      <c r="F30" s="321">
        <f>E30</f>
        <v>20596.051679160919</v>
      </c>
      <c r="G30" s="321">
        <f>F30</f>
        <v>20596.051679160919</v>
      </c>
      <c r="H30" s="321">
        <f>'03-APU-2014'!G422</f>
        <v>32862.398247082238</v>
      </c>
      <c r="I30" s="321">
        <f>'03-APU-2014'!H422</f>
        <v>32862.398247082238</v>
      </c>
      <c r="J30" s="321">
        <f>'03-APU-2014'!I422</f>
        <v>32862.398247082238</v>
      </c>
      <c r="K30" s="321">
        <f>L30</f>
        <v>47981.383551729457</v>
      </c>
      <c r="L30" s="321">
        <f>'03-APU-2014'!K422</f>
        <v>47981.383551729457</v>
      </c>
      <c r="M30" s="325">
        <f>'03-APU-2014'!L422</f>
        <v>47981.383551729457</v>
      </c>
    </row>
    <row r="31" spans="1:13">
      <c r="A31" s="1565" t="s">
        <v>138</v>
      </c>
      <c r="B31" s="1007"/>
      <c r="C31" s="688">
        <f>'03-APU-2014'!D425</f>
        <v>134621.93188890463</v>
      </c>
      <c r="D31" s="321">
        <f>C31</f>
        <v>134621.93188890463</v>
      </c>
      <c r="E31" s="321">
        <f>'03-APU-2014'!E425</f>
        <v>134621.93188890463</v>
      </c>
      <c r="F31" s="321">
        <f>E31</f>
        <v>134621.93188890463</v>
      </c>
      <c r="G31" s="321">
        <f>'03-APU-2014'!F425</f>
        <v>269243.86377780925</v>
      </c>
      <c r="H31" s="321">
        <f>'03-APU-2014'!G425</f>
        <v>269243.86377780925</v>
      </c>
      <c r="I31" s="321"/>
      <c r="J31" s="321"/>
      <c r="K31" s="321"/>
      <c r="L31" s="321"/>
      <c r="M31" s="325"/>
    </row>
    <row r="32" spans="1:13">
      <c r="A32" s="1565" t="s">
        <v>139</v>
      </c>
      <c r="B32" s="1007"/>
      <c r="C32" s="688"/>
      <c r="D32" s="321"/>
      <c r="E32" s="321"/>
      <c r="F32" s="321"/>
      <c r="G32" s="321"/>
      <c r="H32" s="321">
        <f>'03-APU-2014'!G429</f>
        <v>907358</v>
      </c>
      <c r="I32" s="321">
        <f>'03-APU-2014'!H429</f>
        <v>907358</v>
      </c>
      <c r="J32" s="321">
        <f>'03-APU-2014'!I429</f>
        <v>907358</v>
      </c>
      <c r="K32" s="321">
        <f>'03-APU-2014'!J429</f>
        <v>1058585</v>
      </c>
      <c r="L32" s="321">
        <f>'03-APU-2014'!K429</f>
        <v>1058585</v>
      </c>
      <c r="M32" s="325">
        <f>'03-APU-2014'!L429</f>
        <v>1058585</v>
      </c>
    </row>
    <row r="33" spans="1:13" ht="15.75" thickBot="1">
      <c r="A33" s="1585" t="s">
        <v>140</v>
      </c>
      <c r="B33" s="1586"/>
      <c r="C33" s="688">
        <f>'03-APU-2014'!D431</f>
        <v>315000</v>
      </c>
      <c r="D33" s="321"/>
      <c r="E33" s="321">
        <f>'03-APU-2014'!E431</f>
        <v>315000</v>
      </c>
      <c r="F33" s="321"/>
      <c r="G33" s="321">
        <f>'03-APU-2014'!F431</f>
        <v>315000</v>
      </c>
      <c r="H33" s="321">
        <f>'03-APU-2014'!G431</f>
        <v>367500</v>
      </c>
      <c r="I33" s="321">
        <f>'03-APU-2014'!H431</f>
        <v>471176.76161116624</v>
      </c>
      <c r="J33" s="321">
        <f>'03-APU-2014'!I431</f>
        <v>471176.76161116624</v>
      </c>
      <c r="K33" s="321">
        <f>'03-APU-2014'!J431</f>
        <v>525000</v>
      </c>
      <c r="L33" s="321">
        <f>'03-APU-2014'!K431</f>
        <v>525000</v>
      </c>
      <c r="M33" s="325">
        <f>'03-APU-2014'!L431</f>
        <v>525000</v>
      </c>
    </row>
    <row r="34" spans="1:13" ht="15.75" thickBot="1">
      <c r="A34" s="1588" t="s">
        <v>141</v>
      </c>
      <c r="B34" s="1589"/>
      <c r="C34" s="691"/>
      <c r="D34" s="406"/>
      <c r="E34" s="406"/>
      <c r="F34" s="406"/>
      <c r="G34" s="406"/>
      <c r="H34" s="406"/>
      <c r="I34" s="406"/>
      <c r="J34" s="406"/>
      <c r="K34" s="406"/>
      <c r="L34" s="406"/>
      <c r="M34" s="407"/>
    </row>
    <row r="35" spans="1:13">
      <c r="A35" s="1590" t="s">
        <v>142</v>
      </c>
      <c r="B35" s="1591"/>
      <c r="C35" s="698">
        <f>'03-APU-2014'!D434</f>
        <v>381653.17690504465</v>
      </c>
      <c r="D35" s="699">
        <f>C35</f>
        <v>381653.17690504465</v>
      </c>
      <c r="E35" s="699">
        <f>'03-APU-2014'!E434</f>
        <v>381653.17690504465</v>
      </c>
      <c r="F35" s="699">
        <f>E35</f>
        <v>381653.17690504465</v>
      </c>
      <c r="G35" s="699">
        <f>'03-APU-2014'!F434</f>
        <v>381653.17690504465</v>
      </c>
      <c r="H35" s="699">
        <f>'03-APU-2014'!G434</f>
        <v>1060147.713625124</v>
      </c>
      <c r="I35" s="699">
        <f>'03-APU-2014'!H434</f>
        <v>1060147.713625124</v>
      </c>
      <c r="J35" s="699">
        <f>'03-APU-2014'!I434</f>
        <v>1060147.713625124</v>
      </c>
      <c r="K35" s="699">
        <f>'03-APU-2014'!J434</f>
        <v>1526612.7076201786</v>
      </c>
      <c r="L35" s="699">
        <f>'03-APU-2014'!K434</f>
        <v>1526612.7076201786</v>
      </c>
      <c r="M35" s="700">
        <f>'03-APU-2014'!L434</f>
        <v>1526612.7076201786</v>
      </c>
    </row>
    <row r="36" spans="1:13">
      <c r="A36" s="1565" t="s">
        <v>143</v>
      </c>
      <c r="B36" s="1007"/>
      <c r="C36" s="688">
        <f>'03-APU-2014'!D437</f>
        <v>161142.45247101886</v>
      </c>
      <c r="D36" s="321"/>
      <c r="E36" s="321">
        <f>'03-APU-2014'!E437</f>
        <v>161142.45247101886</v>
      </c>
      <c r="F36" s="321"/>
      <c r="G36" s="321">
        <f>'03-APU-2014'!F437</f>
        <v>161142.45247101886</v>
      </c>
      <c r="H36" s="321">
        <f>'03-APU-2014'!G437</f>
        <v>447617.92353060789</v>
      </c>
      <c r="I36" s="321">
        <f>'03-APU-2014'!H437</f>
        <v>447617.92353060789</v>
      </c>
      <c r="J36" s="321">
        <f>'03-APU-2014'!I437</f>
        <v>447617.92353060789</v>
      </c>
      <c r="K36" s="321">
        <f>'03-APU-2014'!J437</f>
        <v>447617.92353060789</v>
      </c>
      <c r="L36" s="321">
        <f>'03-APU-2014'!K437</f>
        <v>644569.80988407542</v>
      </c>
      <c r="M36" s="325">
        <f>'03-APU-2014'!L437</f>
        <v>644165.94408840872</v>
      </c>
    </row>
    <row r="37" spans="1:13">
      <c r="A37" s="1578" t="s">
        <v>144</v>
      </c>
      <c r="B37" s="1579"/>
      <c r="C37" s="688"/>
      <c r="D37" s="321"/>
      <c r="E37" s="321"/>
      <c r="F37" s="321"/>
      <c r="G37" s="321"/>
      <c r="H37" s="321"/>
      <c r="I37" s="321"/>
      <c r="J37" s="321"/>
      <c r="K37" s="321"/>
      <c r="L37" s="321"/>
      <c r="M37" s="325"/>
    </row>
    <row r="38" spans="1:13">
      <c r="A38" s="1565" t="s">
        <v>146</v>
      </c>
      <c r="B38" s="1007"/>
      <c r="C38" s="688">
        <f>'03-APU-2014'!D440</f>
        <v>89052.407944510414</v>
      </c>
      <c r="D38" s="321">
        <f>C38</f>
        <v>89052.407944510414</v>
      </c>
      <c r="E38" s="321">
        <f>'03-APU-2014'!E440</f>
        <v>89052.407944510414</v>
      </c>
      <c r="F38" s="321">
        <f>E38</f>
        <v>89052.407944510414</v>
      </c>
      <c r="G38" s="321">
        <f>'03-APU-2014'!F440</f>
        <v>89052.407944510414</v>
      </c>
      <c r="H38" s="321">
        <f>'03-APU-2014'!G440</f>
        <v>247367.79984586226</v>
      </c>
      <c r="I38" s="321">
        <f>'03-APU-2014'!H440</f>
        <v>247367.79984586226</v>
      </c>
      <c r="J38" s="321">
        <f>'03-APU-2014'!I440</f>
        <v>247367.79984586226</v>
      </c>
      <c r="K38" s="321">
        <f>'03-APU-2014'!J440</f>
        <v>356478.8756418195</v>
      </c>
      <c r="L38" s="321">
        <f>'03-APU-2014'!K440</f>
        <v>356478.8756418195</v>
      </c>
      <c r="M38" s="325">
        <f>'03-APU-2014'!L440</f>
        <v>356478.8756418195</v>
      </c>
    </row>
    <row r="39" spans="1:13" ht="15.75" thickBot="1">
      <c r="A39" s="1585" t="s">
        <v>145</v>
      </c>
      <c r="B39" s="1586"/>
      <c r="C39" s="692">
        <f>'03-APU-2014'!D443</f>
        <v>12789.083529445939</v>
      </c>
      <c r="D39" s="412">
        <f>C39</f>
        <v>12789.083529445939</v>
      </c>
      <c r="E39" s="412">
        <f>'03-APU-2014'!E443</f>
        <v>12789.083529445939</v>
      </c>
      <c r="F39" s="412">
        <f>E39</f>
        <v>12789.083529445939</v>
      </c>
      <c r="G39" s="412">
        <f>'03-APU-2014'!F443</f>
        <v>12789.083529445939</v>
      </c>
      <c r="H39" s="412">
        <f>'03-APU-2014'!G443</f>
        <v>35338.257120837465</v>
      </c>
      <c r="I39" s="412">
        <f>'03-APU-2014'!H443</f>
        <v>35338.257120837465</v>
      </c>
      <c r="J39" s="412">
        <f>'03-APU-2014'!I443</f>
        <v>35338.257120837465</v>
      </c>
      <c r="K39" s="412">
        <f>'03-APU-2014'!J443</f>
        <v>50887.090254005954</v>
      </c>
      <c r="L39" s="412">
        <f>'03-APU-2014'!K443</f>
        <v>50887.090254005954</v>
      </c>
      <c r="M39" s="693">
        <f>'03-APU-2014'!L443</f>
        <v>50887.090254005954</v>
      </c>
    </row>
    <row r="40" spans="1:13" ht="15.75" thickBot="1">
      <c r="A40" s="1588" t="s">
        <v>147</v>
      </c>
      <c r="B40" s="1589"/>
      <c r="C40" s="691"/>
      <c r="D40" s="406"/>
      <c r="E40" s="406"/>
      <c r="F40" s="406"/>
      <c r="G40" s="406"/>
      <c r="H40" s="406"/>
      <c r="I40" s="406"/>
      <c r="J40" s="406"/>
      <c r="K40" s="406"/>
      <c r="L40" s="406"/>
      <c r="M40" s="407"/>
    </row>
    <row r="41" spans="1:13">
      <c r="A41" s="1590" t="s">
        <v>148</v>
      </c>
      <c r="B41" s="1591"/>
      <c r="C41" s="688">
        <f>'03-APU-2014'!D446</f>
        <v>174470.0237280204</v>
      </c>
      <c r="D41" s="321"/>
      <c r="E41" s="321">
        <f>'03-APU-2014'!E446</f>
        <v>174470.0237280204</v>
      </c>
      <c r="F41" s="321"/>
      <c r="G41" s="699">
        <f>'03-APU-2014'!F446</f>
        <v>174470.0237280204</v>
      </c>
      <c r="H41" s="321">
        <f>'03-APU-2014'!G446</f>
        <v>2358834.7208028357</v>
      </c>
      <c r="I41" s="321">
        <f>'03-APU-2014'!H446</f>
        <v>2358834.7208028357</v>
      </c>
      <c r="J41" s="321">
        <f>'03-APU-2014'!I446</f>
        <v>2358834.7208028357</v>
      </c>
      <c r="K41" s="321">
        <f>'03-APU-2014'!J446</f>
        <v>3232057.189561578</v>
      </c>
      <c r="L41" s="321">
        <f>'03-APU-2014'!K446</f>
        <v>3232057.189561578</v>
      </c>
      <c r="M41" s="325">
        <f>'03-APU-2014'!L446</f>
        <v>3232057.189561578</v>
      </c>
    </row>
    <row r="42" spans="1:13">
      <c r="A42" s="1565" t="s">
        <v>149</v>
      </c>
      <c r="B42" s="1007"/>
      <c r="C42" s="688">
        <f>'03-APU-2014'!D449</f>
        <v>1046832.2583419924</v>
      </c>
      <c r="D42" s="321"/>
      <c r="E42" s="321">
        <f>'03-APU-2014'!E449</f>
        <v>1046832.2583419924</v>
      </c>
      <c r="F42" s="321"/>
      <c r="G42" s="321">
        <f>'03-APU-2014'!F449</f>
        <v>1046832.2583419924</v>
      </c>
      <c r="H42" s="321"/>
      <c r="I42" s="321"/>
      <c r="J42" s="321"/>
      <c r="K42" s="321"/>
      <c r="L42" s="321"/>
      <c r="M42" s="325"/>
    </row>
    <row r="43" spans="1:13">
      <c r="A43" s="1565" t="s">
        <v>150</v>
      </c>
      <c r="B43" s="1007"/>
      <c r="C43" s="688">
        <f>'03-APU-2014'!D452</f>
        <v>471176.76161116624</v>
      </c>
      <c r="D43" s="321"/>
      <c r="E43" s="321">
        <f>'03-APU-2014'!E452</f>
        <v>471176.76161116624</v>
      </c>
      <c r="F43" s="321"/>
      <c r="G43" s="321">
        <f>'03-APU-2014'!F452</f>
        <v>471176.76161116624</v>
      </c>
      <c r="H43" s="321">
        <f>'03-APU-2014'!G452</f>
        <v>538487.7275556185</v>
      </c>
      <c r="I43" s="321">
        <f>'03-APU-2014'!H452</f>
        <v>538487.7275556185</v>
      </c>
      <c r="J43" s="321">
        <f>'03-APU-2014'!I452</f>
        <v>538487.7275556185</v>
      </c>
      <c r="K43" s="321">
        <f>'03-APU-2014'!J452</f>
        <v>605798.69350007083</v>
      </c>
      <c r="L43" s="321">
        <f>'03-APU-2014'!K452</f>
        <v>605798.69350007083</v>
      </c>
      <c r="M43" s="325">
        <f>'03-APU-2014'!L452</f>
        <v>605798.69350007083</v>
      </c>
    </row>
    <row r="44" spans="1:13">
      <c r="A44" s="1565" t="s">
        <v>151</v>
      </c>
      <c r="B44" s="1007"/>
      <c r="C44" s="688">
        <f>'03-APU-2014'!D455</f>
        <v>69666.849752508148</v>
      </c>
      <c r="D44" s="321"/>
      <c r="E44" s="321">
        <f>'03-APU-2014'!E455</f>
        <v>69666.849752508148</v>
      </c>
      <c r="F44" s="321"/>
      <c r="G44" s="321">
        <f>'03-APU-2014'!F455</f>
        <v>69666.849752508148</v>
      </c>
      <c r="H44" s="321">
        <f>'03-APU-2014'!G455</f>
        <v>123852.17733779227</v>
      </c>
      <c r="I44" s="321">
        <f>'03-APU-2014'!H455</f>
        <v>123852.17733779227</v>
      </c>
      <c r="J44" s="321">
        <f>'03-APU-2014'!I455</f>
        <v>123852.17733779227</v>
      </c>
      <c r="K44" s="321">
        <f>'03-APU-2014'!J455</f>
        <v>193519.0270903004</v>
      </c>
      <c r="L44" s="321">
        <f>'03-APU-2014'!K455</f>
        <v>193519.0270903004</v>
      </c>
      <c r="M44" s="325">
        <f>'03-APU-2014'!L455</f>
        <v>193519.0270903004</v>
      </c>
    </row>
    <row r="45" spans="1:13">
      <c r="A45" s="1565" t="s">
        <v>152</v>
      </c>
      <c r="B45" s="1007"/>
      <c r="C45" s="688"/>
      <c r="D45" s="321">
        <f>'03-APU-2014'!D458</f>
        <v>60579.869350007088</v>
      </c>
      <c r="E45" s="5"/>
      <c r="F45" s="321">
        <f>'03-APU-2014'!E458</f>
        <v>60579.869350007088</v>
      </c>
      <c r="G45" s="791">
        <f>'03-APU-2014'!F458</f>
        <v>121159.73870001418</v>
      </c>
      <c r="H45" s="321">
        <f>'03-APU-2014'!G458</f>
        <v>121159.73870001418</v>
      </c>
      <c r="I45" s="321">
        <f>'03-APU-2014'!H458</f>
        <v>121159.73870001418</v>
      </c>
      <c r="J45" s="321">
        <f>'03-APU-2014'!I458</f>
        <v>121159.73870001418</v>
      </c>
      <c r="K45" s="321">
        <f>'03-APU-2014'!J458</f>
        <v>169623.63418001984</v>
      </c>
      <c r="L45" s="321">
        <f>'03-APU-2014'!K458</f>
        <v>169623.63418001984</v>
      </c>
      <c r="M45" s="325">
        <f>'03-APU-2014'!L458</f>
        <v>169623.63418001984</v>
      </c>
    </row>
    <row r="46" spans="1:13">
      <c r="A46" s="1565" t="s">
        <v>153</v>
      </c>
      <c r="B46" s="1007"/>
      <c r="C46" s="688">
        <f>'03-APU-2014'!D461</f>
        <v>127217.72563501488</v>
      </c>
      <c r="D46" s="321"/>
      <c r="E46" s="321">
        <f>'03-APU-2014'!E461</f>
        <v>127217.72563501488</v>
      </c>
      <c r="F46" s="321"/>
      <c r="G46" s="321">
        <f>'03-APU-2014'!F461</f>
        <v>127217.72563501488</v>
      </c>
      <c r="H46" s="321">
        <f>'03-APU-2014'!G461</f>
        <v>1058451.4772833239</v>
      </c>
      <c r="I46" s="321">
        <f>'03-APU-2014'!H461</f>
        <v>1058451.4772833239</v>
      </c>
      <c r="J46" s="321">
        <f>'03-APU-2014'!I461</f>
        <v>1058451.4772833239</v>
      </c>
      <c r="K46" s="321">
        <f>'03-APU-2014'!J461</f>
        <v>1450282.0722391696</v>
      </c>
      <c r="L46" s="321">
        <f>'03-APU-2014'!K461</f>
        <v>1450282.0722391696</v>
      </c>
      <c r="M46" s="325">
        <f>'03-APU-2014'!L461</f>
        <v>1450282.0722391696</v>
      </c>
    </row>
    <row r="47" spans="1:13" ht="15.75" thickBot="1">
      <c r="A47" s="1585" t="s">
        <v>154</v>
      </c>
      <c r="B47" s="1586"/>
      <c r="C47" s="688">
        <f>'03-APU-2014'!D464</f>
        <v>714820</v>
      </c>
      <c r="D47" s="321"/>
      <c r="E47" s="321">
        <f>'03-APU-2014'!E464</f>
        <v>714820</v>
      </c>
      <c r="F47" s="321"/>
      <c r="G47" s="412">
        <f>'03-APU-2014'!F464</f>
        <v>714820</v>
      </c>
      <c r="H47" s="321"/>
      <c r="I47" s="321"/>
      <c r="J47" s="321"/>
      <c r="K47" s="321"/>
      <c r="L47" s="321"/>
      <c r="M47" s="325"/>
    </row>
    <row r="48" spans="1:13" ht="15.75" thickBot="1">
      <c r="A48" s="1588" t="s">
        <v>155</v>
      </c>
      <c r="B48" s="1589"/>
      <c r="C48" s="691"/>
      <c r="D48" s="406"/>
      <c r="E48" s="406"/>
      <c r="F48" s="406"/>
      <c r="G48" s="406"/>
      <c r="H48" s="406"/>
      <c r="I48" s="406"/>
      <c r="J48" s="406"/>
      <c r="K48" s="406"/>
      <c r="L48" s="406"/>
      <c r="M48" s="407"/>
    </row>
    <row r="49" spans="1:13">
      <c r="A49" s="1590" t="s">
        <v>156</v>
      </c>
      <c r="B49" s="1591"/>
      <c r="C49" s="698">
        <f>'03-APU-2014'!D467</f>
        <v>2545647.8701500003</v>
      </c>
      <c r="D49" s="699"/>
      <c r="E49" s="699">
        <f>'03-APU-2014'!E467</f>
        <v>2545647.8701500003</v>
      </c>
      <c r="F49" s="699"/>
      <c r="G49" s="699">
        <f>'03-APU-2014'!F467</f>
        <v>2545647.8701500003</v>
      </c>
      <c r="H49" s="699">
        <f>'03-APU-2014'!G467</f>
        <v>4061753.9424000001</v>
      </c>
      <c r="I49" s="699">
        <f>'03-APU-2014'!H467</f>
        <v>4061753.9424000001</v>
      </c>
      <c r="J49" s="699">
        <f>'03-APU-2014'!I467</f>
        <v>4061753.9424000001</v>
      </c>
      <c r="K49" s="699">
        <f>'03-APU-2014'!J467</f>
        <v>4061753.9424000001</v>
      </c>
      <c r="L49" s="699">
        <f>'03-APU-2014'!K467</f>
        <v>4061753.9424000001</v>
      </c>
      <c r="M49" s="700">
        <f>'03-APU-2014'!L467</f>
        <v>5930442.8221500013</v>
      </c>
    </row>
    <row r="50" spans="1:13">
      <c r="A50" s="1565" t="s">
        <v>157</v>
      </c>
      <c r="B50" s="1007"/>
      <c r="C50" s="688">
        <f>'03-APU-2014'!D470</f>
        <v>67310.965944452313</v>
      </c>
      <c r="D50" s="321"/>
      <c r="E50" s="321">
        <f>'03-APU-2014'!E470</f>
        <v>67310.965944452313</v>
      </c>
      <c r="F50" s="321"/>
      <c r="G50" s="321">
        <f>'03-APU-2014'!F470</f>
        <v>67310.965944452313</v>
      </c>
      <c r="H50" s="321">
        <f>'03-APU-2014'!G470</f>
        <v>107697.54551112371</v>
      </c>
      <c r="I50" s="321">
        <f>'03-APU-2014'!H470</f>
        <v>107697.54551112371</v>
      </c>
      <c r="J50" s="321">
        <f>'03-APU-2014'!I470</f>
        <v>107697.54551112371</v>
      </c>
      <c r="K50" s="321">
        <f>'03-APU-2014'!J470</f>
        <v>107697.54551112371</v>
      </c>
      <c r="L50" s="321">
        <f>'03-APU-2014'!K470</f>
        <v>107697.54551112371</v>
      </c>
      <c r="M50" s="325">
        <f>'03-APU-2014'!L470</f>
        <v>107697.54551112371</v>
      </c>
    </row>
    <row r="51" spans="1:13">
      <c r="A51" s="1565" t="s">
        <v>158</v>
      </c>
      <c r="B51" s="1007"/>
      <c r="C51" s="688">
        <f>'03-APU-2014'!D473</f>
        <v>512499.99999999994</v>
      </c>
      <c r="D51" s="321"/>
      <c r="E51" s="321">
        <f>'03-APU-2014'!E473</f>
        <v>666250</v>
      </c>
      <c r="F51" s="321"/>
      <c r="G51" s="321">
        <f>'03-APU-2014'!F473</f>
        <v>871249.99999999988</v>
      </c>
      <c r="H51" s="321">
        <f>'03-APU-2014'!G473</f>
        <v>1332500</v>
      </c>
      <c r="I51" s="321">
        <f>'03-APU-2014'!H473</f>
        <v>1844999.9999999998</v>
      </c>
      <c r="J51" s="321">
        <f>'03-APU-2014'!I473</f>
        <v>2255000</v>
      </c>
      <c r="K51" s="321">
        <f>'03-APU-2014'!J473</f>
        <v>2665000</v>
      </c>
      <c r="L51" s="321">
        <f>'03-APU-2014'!K473</f>
        <v>3074999.9999999995</v>
      </c>
      <c r="M51" s="325">
        <f>'03-APU-2014'!L473</f>
        <v>3587499.9999999995</v>
      </c>
    </row>
    <row r="52" spans="1:13">
      <c r="A52" s="1565" t="s">
        <v>159</v>
      </c>
      <c r="B52" s="1007"/>
      <c r="C52" s="688">
        <f>'03-APU-2014'!D476</f>
        <v>34728.75</v>
      </c>
      <c r="D52" s="321">
        <f>C52</f>
        <v>34728.75</v>
      </c>
      <c r="E52" s="321">
        <f>'03-APU-2014'!E476</f>
        <v>34728.75</v>
      </c>
      <c r="F52" s="321">
        <f>E52</f>
        <v>34728.75</v>
      </c>
      <c r="G52" s="321">
        <f>'03-APU-2014'!F476</f>
        <v>34728.75</v>
      </c>
      <c r="H52" s="321">
        <f>'03-APU-2014'!G476</f>
        <v>96468.75</v>
      </c>
      <c r="I52" s="321">
        <f>'03-APU-2014'!H476</f>
        <v>96468.75</v>
      </c>
      <c r="J52" s="321">
        <f>'03-APU-2014'!I476</f>
        <v>96468.75</v>
      </c>
      <c r="K52" s="321">
        <f>'03-APU-2014'!J476</f>
        <v>139020</v>
      </c>
      <c r="L52" s="321">
        <f>'03-APU-2014'!K476</f>
        <v>3989922.8250000007</v>
      </c>
      <c r="M52" s="325">
        <f>'03-APU-2014'!L476</f>
        <v>4241387.3250000011</v>
      </c>
    </row>
    <row r="53" spans="1:13" ht="15.75" thickBot="1">
      <c r="A53" s="1594"/>
      <c r="B53" s="1595"/>
      <c r="C53" s="692"/>
      <c r="D53" s="412"/>
      <c r="E53" s="412"/>
      <c r="F53" s="412"/>
      <c r="G53" s="412"/>
      <c r="H53" s="412"/>
      <c r="I53" s="412"/>
      <c r="J53" s="412"/>
      <c r="K53" s="412"/>
      <c r="L53" s="412"/>
      <c r="M53" s="693"/>
    </row>
    <row r="54" spans="1:13">
      <c r="A54" s="1568" t="s">
        <v>46</v>
      </c>
      <c r="B54" s="1569"/>
      <c r="C54" s="707">
        <f>SUM(C29,C30,C31,C32,C33,C35,C36,C38,C41,C42,C43,C44,C45,C46,C47,C49,C50,C51,C52)</f>
        <v>6873706.8103737952</v>
      </c>
      <c r="D54" s="708">
        <f t="shared" ref="D54:M54" si="4">SUM(D29,D30,D31,D32,D33,D35,D36,D38,D41,D42,D43,D44,D45,D46,D47,D49,D50,D51,D52)</f>
        <v>728501.7720896285</v>
      </c>
      <c r="E54" s="708">
        <f t="shared" si="4"/>
        <v>7027456.8103737952</v>
      </c>
      <c r="F54" s="708">
        <f t="shared" si="4"/>
        <v>728501.7720896285</v>
      </c>
      <c r="G54" s="708">
        <f t="shared" si="4"/>
        <v>7500596.7743101157</v>
      </c>
      <c r="H54" s="708">
        <f t="shared" si="4"/>
        <v>13150931.656286597</v>
      </c>
      <c r="I54" s="708">
        <f t="shared" si="4"/>
        <v>13513130.681196155</v>
      </c>
      <c r="J54" s="708">
        <f t="shared" si="4"/>
        <v>13923130.681196155</v>
      </c>
      <c r="K54" s="708">
        <f t="shared" si="4"/>
        <v>16641549.877241604</v>
      </c>
      <c r="L54" s="708">
        <f t="shared" si="4"/>
        <v>21099404.58859507</v>
      </c>
      <c r="M54" s="709">
        <f t="shared" si="4"/>
        <v>23731654.102549404</v>
      </c>
    </row>
    <row r="55" spans="1:13" ht="15.75" thickBot="1">
      <c r="A55" s="1596"/>
      <c r="B55" s="1321"/>
      <c r="C55" s="690"/>
      <c r="D55" s="8"/>
      <c r="E55" s="8"/>
      <c r="F55" s="8"/>
      <c r="G55" s="8"/>
      <c r="H55" s="8"/>
      <c r="I55" s="8"/>
      <c r="J55" s="8"/>
      <c r="K55" s="8"/>
      <c r="L55" s="8"/>
      <c r="M55" s="280"/>
    </row>
    <row r="56" spans="1:13" ht="19.5" thickBot="1">
      <c r="A56" s="1597" t="s">
        <v>170</v>
      </c>
      <c r="B56" s="1598"/>
      <c r="C56" s="265">
        <f t="shared" ref="C56:M56" si="5">SUM(C20,C26,C54)</f>
        <v>14163722.956956692</v>
      </c>
      <c r="D56" s="265">
        <f t="shared" si="5"/>
        <v>8018517.9186725244</v>
      </c>
      <c r="E56" s="265">
        <f t="shared" si="5"/>
        <v>14317472.956956692</v>
      </c>
      <c r="F56" s="265">
        <f t="shared" si="5"/>
        <v>8018517.9186725244</v>
      </c>
      <c r="G56" s="265">
        <f t="shared" si="5"/>
        <v>15083398.887634881</v>
      </c>
      <c r="H56" s="265">
        <f t="shared" si="5"/>
        <v>20882481.49324473</v>
      </c>
      <c r="I56" s="265">
        <f t="shared" si="5"/>
        <v>23013795.053963486</v>
      </c>
      <c r="J56" s="265">
        <f t="shared" si="5"/>
        <v>24264282.175433863</v>
      </c>
      <c r="K56" s="265">
        <f t="shared" si="5"/>
        <v>27188923.07497669</v>
      </c>
      <c r="L56" s="265">
        <f t="shared" si="5"/>
        <v>31845916.1564942</v>
      </c>
      <c r="M56" s="265">
        <f t="shared" si="5"/>
        <v>34528999.00378187</v>
      </c>
    </row>
    <row r="57" spans="1:13">
      <c r="A57" s="1587"/>
      <c r="B57" s="904"/>
      <c r="C57" s="694"/>
      <c r="D57" s="3"/>
      <c r="E57" s="3"/>
      <c r="F57" s="3"/>
      <c r="G57" s="3"/>
      <c r="H57" s="3"/>
      <c r="I57" s="3"/>
      <c r="J57" s="3"/>
      <c r="K57" s="3"/>
      <c r="L57" s="3"/>
      <c r="M57" s="30"/>
    </row>
    <row r="58" spans="1:13">
      <c r="A58" s="413" t="s">
        <v>365</v>
      </c>
      <c r="B58" s="683">
        <v>0.1</v>
      </c>
      <c r="C58" s="695">
        <f>C56*$B$58</f>
        <v>1416372.2956956693</v>
      </c>
      <c r="D58" s="330">
        <f t="shared" ref="D58:M58" si="6">D56*$B$58</f>
        <v>801851.79186725244</v>
      </c>
      <c r="E58" s="330">
        <f t="shared" si="6"/>
        <v>1431747.2956956693</v>
      </c>
      <c r="F58" s="330">
        <f t="shared" si="6"/>
        <v>801851.79186725244</v>
      </c>
      <c r="G58" s="330">
        <f t="shared" si="6"/>
        <v>1508339.8887634883</v>
      </c>
      <c r="H58" s="330">
        <f t="shared" si="6"/>
        <v>2088248.149324473</v>
      </c>
      <c r="I58" s="330">
        <f t="shared" si="6"/>
        <v>2301379.5053963489</v>
      </c>
      <c r="J58" s="330">
        <f t="shared" si="6"/>
        <v>2426428.2175433864</v>
      </c>
      <c r="K58" s="330">
        <f t="shared" si="6"/>
        <v>2718892.307497669</v>
      </c>
      <c r="L58" s="330">
        <f t="shared" si="6"/>
        <v>3184591.6156494203</v>
      </c>
      <c r="M58" s="621">
        <f t="shared" si="6"/>
        <v>3452899.9003781872</v>
      </c>
    </row>
    <row r="59" spans="1:13">
      <c r="A59" s="414" t="s">
        <v>439</v>
      </c>
      <c r="B59" s="683">
        <v>0.1</v>
      </c>
      <c r="C59" s="695">
        <f>C56*$B$59</f>
        <v>1416372.2956956693</v>
      </c>
      <c r="D59" s="330">
        <f t="shared" ref="D59:M59" si="7">D56*$B$59</f>
        <v>801851.79186725244</v>
      </c>
      <c r="E59" s="330">
        <f t="shared" si="7"/>
        <v>1431747.2956956693</v>
      </c>
      <c r="F59" s="330">
        <f t="shared" si="7"/>
        <v>801851.79186725244</v>
      </c>
      <c r="G59" s="330">
        <f t="shared" si="7"/>
        <v>1508339.8887634883</v>
      </c>
      <c r="H59" s="330">
        <f t="shared" si="7"/>
        <v>2088248.149324473</v>
      </c>
      <c r="I59" s="330">
        <f t="shared" si="7"/>
        <v>2301379.5053963489</v>
      </c>
      <c r="J59" s="330">
        <f t="shared" si="7"/>
        <v>2426428.2175433864</v>
      </c>
      <c r="K59" s="330">
        <f t="shared" si="7"/>
        <v>2718892.307497669</v>
      </c>
      <c r="L59" s="330">
        <f t="shared" si="7"/>
        <v>3184591.6156494203</v>
      </c>
      <c r="M59" s="621">
        <f t="shared" si="7"/>
        <v>3452899.9003781872</v>
      </c>
    </row>
    <row r="60" spans="1:13" ht="15.75" customHeight="1">
      <c r="A60" s="413" t="s">
        <v>440</v>
      </c>
      <c r="B60" s="683">
        <v>0.05</v>
      </c>
      <c r="C60" s="695">
        <f>C56*$B$60</f>
        <v>708186.14784783463</v>
      </c>
      <c r="D60" s="330">
        <f t="shared" ref="D60:M60" si="8">D56*$B$60</f>
        <v>400925.89593362622</v>
      </c>
      <c r="E60" s="330">
        <f t="shared" si="8"/>
        <v>715873.64784783463</v>
      </c>
      <c r="F60" s="330">
        <f t="shared" si="8"/>
        <v>400925.89593362622</v>
      </c>
      <c r="G60" s="330">
        <f t="shared" si="8"/>
        <v>754169.94438174414</v>
      </c>
      <c r="H60" s="330">
        <f t="shared" si="8"/>
        <v>1044124.0746622365</v>
      </c>
      <c r="I60" s="330">
        <f t="shared" si="8"/>
        <v>1150689.7526981744</v>
      </c>
      <c r="J60" s="330">
        <f t="shared" si="8"/>
        <v>1213214.1087716932</v>
      </c>
      <c r="K60" s="330">
        <f t="shared" si="8"/>
        <v>1359446.1537488345</v>
      </c>
      <c r="L60" s="330">
        <f t="shared" si="8"/>
        <v>1592295.8078247102</v>
      </c>
      <c r="M60" s="621">
        <f t="shared" si="8"/>
        <v>1726449.9501890936</v>
      </c>
    </row>
    <row r="61" spans="1:13" s="57" customFormat="1" ht="18.75" customHeight="1">
      <c r="A61" s="413" t="s">
        <v>445</v>
      </c>
      <c r="B61" s="683">
        <v>0.16</v>
      </c>
      <c r="C61" s="696">
        <f>C60*$B$61</f>
        <v>113309.78365565355</v>
      </c>
      <c r="D61" s="415">
        <f t="shared" ref="D61:M61" si="9">D60*$B$61</f>
        <v>64148.143349380196</v>
      </c>
      <c r="E61" s="415">
        <f t="shared" si="9"/>
        <v>114539.78365565355</v>
      </c>
      <c r="F61" s="415">
        <f t="shared" si="9"/>
        <v>64148.143349380196</v>
      </c>
      <c r="G61" s="415">
        <f t="shared" si="9"/>
        <v>120667.19110107906</v>
      </c>
      <c r="H61" s="415">
        <f t="shared" si="9"/>
        <v>167059.85194595784</v>
      </c>
      <c r="I61" s="415">
        <f t="shared" si="9"/>
        <v>184110.3604317079</v>
      </c>
      <c r="J61" s="415">
        <f t="shared" si="9"/>
        <v>194114.25740347093</v>
      </c>
      <c r="K61" s="415">
        <f t="shared" si="9"/>
        <v>217511.38459981352</v>
      </c>
      <c r="L61" s="415">
        <f t="shared" si="9"/>
        <v>254767.32925195363</v>
      </c>
      <c r="M61" s="697">
        <f t="shared" si="9"/>
        <v>276231.99203025497</v>
      </c>
    </row>
    <row r="62" spans="1:13" ht="15.75" thickBot="1">
      <c r="A62" s="1584"/>
      <c r="B62" s="1321"/>
      <c r="C62" s="629"/>
      <c r="D62" s="31"/>
      <c r="E62" s="31"/>
      <c r="F62" s="31"/>
      <c r="G62" s="31"/>
      <c r="H62" s="31"/>
      <c r="I62" s="31"/>
      <c r="J62" s="31"/>
      <c r="K62" s="31"/>
      <c r="L62" s="31"/>
      <c r="M62" s="630"/>
    </row>
    <row r="63" spans="1:13">
      <c r="A63" s="1582" t="s">
        <v>595</v>
      </c>
      <c r="B63" s="1443"/>
      <c r="C63" s="710">
        <f>SUM(C56:C61)</f>
        <v>17817963.479851522</v>
      </c>
      <c r="D63" s="416"/>
      <c r="E63" s="416">
        <f t="shared" ref="E63:M63" si="10">SUM(E56:E61)</f>
        <v>18011380.979851522</v>
      </c>
      <c r="F63" s="416"/>
      <c r="G63" s="416">
        <f t="shared" si="10"/>
        <v>18974915.800644677</v>
      </c>
      <c r="H63" s="416">
        <f t="shared" si="10"/>
        <v>26270161.718501873</v>
      </c>
      <c r="I63" s="416">
        <f t="shared" si="10"/>
        <v>28951354.177886065</v>
      </c>
      <c r="J63" s="416">
        <f t="shared" si="10"/>
        <v>30524466.976695798</v>
      </c>
      <c r="K63" s="416">
        <f t="shared" si="10"/>
        <v>34203665.228320673</v>
      </c>
      <c r="L63" s="416">
        <f t="shared" si="10"/>
        <v>40062162.524869695</v>
      </c>
      <c r="M63" s="711">
        <f t="shared" si="10"/>
        <v>43437480.746757597</v>
      </c>
    </row>
    <row r="64" spans="1:13" ht="15.75" thickBot="1">
      <c r="A64" s="1583" t="s">
        <v>596</v>
      </c>
      <c r="B64" s="1445"/>
      <c r="C64" s="712"/>
      <c r="D64" s="417">
        <f>SUM(D56,D58:D61)</f>
        <v>10087295.541690035</v>
      </c>
      <c r="E64" s="417"/>
      <c r="F64" s="417">
        <f>SUM(F56,F58:F61)</f>
        <v>10087295.541690035</v>
      </c>
      <c r="G64" s="417"/>
      <c r="H64" s="417"/>
      <c r="I64" s="417"/>
      <c r="J64" s="417"/>
      <c r="K64" s="417"/>
      <c r="L64" s="417"/>
      <c r="M64" s="418"/>
    </row>
  </sheetData>
  <mergeCells count="64">
    <mergeCell ref="L1:M1"/>
    <mergeCell ref="L2:M2"/>
    <mergeCell ref="L3:M3"/>
    <mergeCell ref="C1:K2"/>
    <mergeCell ref="C3:K3"/>
    <mergeCell ref="A1:B3"/>
    <mergeCell ref="A53:B53"/>
    <mergeCell ref="A55:B55"/>
    <mergeCell ref="A54:B54"/>
    <mergeCell ref="A56:B56"/>
    <mergeCell ref="A43:B43"/>
    <mergeCell ref="A44:B44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63:B63"/>
    <mergeCell ref="A64:B64"/>
    <mergeCell ref="A62:B62"/>
    <mergeCell ref="A45:B45"/>
    <mergeCell ref="A46:B46"/>
    <mergeCell ref="A47:B47"/>
    <mergeCell ref="A57:B57"/>
    <mergeCell ref="A48:B48"/>
    <mergeCell ref="A49:B49"/>
    <mergeCell ref="A50:B50"/>
    <mergeCell ref="A51:B51"/>
    <mergeCell ref="A52:B52"/>
    <mergeCell ref="A37:B37"/>
    <mergeCell ref="A28:B28"/>
    <mergeCell ref="A29:B29"/>
    <mergeCell ref="A30:B30"/>
    <mergeCell ref="A31:B31"/>
    <mergeCell ref="A32:B32"/>
    <mergeCell ref="A18:B18"/>
    <mergeCell ref="A19:B19"/>
    <mergeCell ref="A20:B20"/>
    <mergeCell ref="A21:B21"/>
    <mergeCell ref="A22:B22"/>
    <mergeCell ref="A23:B23"/>
    <mergeCell ref="A25:B25"/>
    <mergeCell ref="A26:B26"/>
    <mergeCell ref="A24:B24"/>
    <mergeCell ref="A27:B27"/>
    <mergeCell ref="A12:B12"/>
    <mergeCell ref="A13:B13"/>
    <mergeCell ref="A14:B14"/>
    <mergeCell ref="A15:B15"/>
    <mergeCell ref="A17:B17"/>
    <mergeCell ref="A7:B7"/>
    <mergeCell ref="A8:B8"/>
    <mergeCell ref="A9:B9"/>
    <mergeCell ref="A10:B10"/>
    <mergeCell ref="A11:B11"/>
    <mergeCell ref="L5:M5"/>
    <mergeCell ref="C6:D6"/>
    <mergeCell ref="E6:F6"/>
    <mergeCell ref="A4:B4"/>
    <mergeCell ref="A6:B6"/>
  </mergeCells>
  <pageMargins left="0.7" right="0.7" top="0.75" bottom="0.75" header="0.3" footer="0.3"/>
  <pageSetup orientation="portrait" r:id="rId1"/>
  <ignoredErrors>
    <ignoredError sqref="E16:G17 E10:G10 E11:G15 I12:I14 E22:G22 E23:F23 H23:H24 E29 G29 E30:F30 D31:G31 E35:G35 H33 E38:G38 E39:G39 H45:H46 H49:H51 E52:G52 C42 H38 H39 H52 H16:H17 H10 H11:H15 H22 H29 H30 H31 H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K7" sqref="K7"/>
    </sheetView>
  </sheetViews>
  <sheetFormatPr baseColWidth="10" defaultRowHeight="15"/>
  <cols>
    <col min="1" max="1" width="9.7109375" style="57" customWidth="1"/>
    <col min="2" max="2" width="14.85546875" style="57" customWidth="1"/>
    <col min="3" max="3" width="11.5703125" style="57" customWidth="1"/>
    <col min="4" max="4" width="12.42578125" style="57" customWidth="1"/>
    <col min="5" max="5" width="12.7109375" style="57" customWidth="1"/>
    <col min="6" max="6" width="11.28515625" style="57" customWidth="1"/>
    <col min="7" max="7" width="14.140625" style="57" customWidth="1"/>
    <col min="8" max="8" width="10.85546875" style="57" customWidth="1"/>
    <col min="9" max="9" width="18.42578125" style="57" customWidth="1"/>
    <col min="10" max="16384" width="11.42578125" style="57"/>
  </cols>
  <sheetData>
    <row r="1" spans="1:9" ht="15" customHeight="1">
      <c r="A1" s="897" t="s">
        <v>168</v>
      </c>
      <c r="B1" s="897"/>
      <c r="C1" s="897"/>
      <c r="D1" s="898" t="s">
        <v>337</v>
      </c>
      <c r="E1" s="899"/>
      <c r="F1" s="899"/>
      <c r="G1" s="899"/>
      <c r="H1" s="900"/>
      <c r="I1" s="113" t="s">
        <v>336</v>
      </c>
    </row>
    <row r="2" spans="1:9">
      <c r="A2" s="897"/>
      <c r="B2" s="897"/>
      <c r="C2" s="897"/>
      <c r="D2" s="901"/>
      <c r="E2" s="902"/>
      <c r="F2" s="902"/>
      <c r="G2" s="902"/>
      <c r="H2" s="903"/>
      <c r="I2" s="113" t="s">
        <v>165</v>
      </c>
    </row>
    <row r="3" spans="1:9">
      <c r="A3" s="897"/>
      <c r="B3" s="897"/>
      <c r="C3" s="897"/>
      <c r="D3" s="904" t="s">
        <v>338</v>
      </c>
      <c r="E3" s="905"/>
      <c r="F3" s="905"/>
      <c r="G3" s="905"/>
      <c r="H3" s="906"/>
      <c r="I3" s="114">
        <v>41948</v>
      </c>
    </row>
    <row r="4" spans="1:9" ht="65.25" customHeight="1">
      <c r="A4" s="907" t="s">
        <v>332</v>
      </c>
      <c r="B4" s="907"/>
      <c r="C4" s="907"/>
      <c r="D4" s="907" t="s">
        <v>331</v>
      </c>
      <c r="E4" s="907"/>
      <c r="F4" s="907"/>
      <c r="G4" s="907" t="s">
        <v>330</v>
      </c>
      <c r="H4" s="907"/>
      <c r="I4" s="907"/>
    </row>
    <row r="5" spans="1:9" ht="18" customHeight="1">
      <c r="A5" s="2" t="s">
        <v>329</v>
      </c>
      <c r="B5" s="2" t="s">
        <v>328</v>
      </c>
      <c r="C5" s="2" t="s">
        <v>327</v>
      </c>
      <c r="D5" s="2">
        <v>1</v>
      </c>
      <c r="E5" s="2">
        <v>2</v>
      </c>
      <c r="F5" s="2">
        <v>3</v>
      </c>
      <c r="G5" s="2">
        <v>1</v>
      </c>
      <c r="H5" s="2">
        <v>2</v>
      </c>
      <c r="I5" s="2">
        <v>3</v>
      </c>
    </row>
    <row r="6" spans="1:9" ht="21" customHeight="1">
      <c r="A6" s="2" t="s">
        <v>323</v>
      </c>
      <c r="B6" s="2" t="s">
        <v>326</v>
      </c>
      <c r="C6" s="2" t="s">
        <v>325</v>
      </c>
      <c r="D6" s="2" t="s">
        <v>324</v>
      </c>
      <c r="E6" s="2" t="s">
        <v>323</v>
      </c>
      <c r="F6" s="2" t="s">
        <v>322</v>
      </c>
      <c r="G6" s="2" t="s">
        <v>321</v>
      </c>
      <c r="H6" s="2" t="s">
        <v>320</v>
      </c>
      <c r="I6" s="2" t="s">
        <v>319</v>
      </c>
    </row>
  </sheetData>
  <mergeCells count="6">
    <mergeCell ref="A1:C3"/>
    <mergeCell ref="D1:H2"/>
    <mergeCell ref="D3:H3"/>
    <mergeCell ref="A4:C4"/>
    <mergeCell ref="D4:F4"/>
    <mergeCell ref="G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2"/>
  <sheetViews>
    <sheetView topLeftCell="A11" zoomScale="86" zoomScaleNormal="86" workbookViewId="0">
      <selection activeCell="N26" sqref="N26"/>
    </sheetView>
  </sheetViews>
  <sheetFormatPr baseColWidth="10" defaultRowHeight="15"/>
  <cols>
    <col min="1" max="1" width="3.28515625" style="57" customWidth="1"/>
    <col min="2" max="2" width="31.5703125" style="57" customWidth="1"/>
    <col min="3" max="3" width="15.7109375" style="57" customWidth="1"/>
    <col min="4" max="4" width="2.5703125" style="57" customWidth="1"/>
    <col min="5" max="5" width="3.42578125" style="57" customWidth="1"/>
    <col min="6" max="6" width="35" style="57" customWidth="1"/>
    <col min="7" max="7" width="15.85546875" style="57" customWidth="1"/>
    <col min="8" max="8" width="2.5703125" style="57" customWidth="1"/>
    <col min="9" max="9" width="16.7109375" style="57" customWidth="1"/>
    <col min="10" max="10" width="15.7109375" style="57" customWidth="1"/>
    <col min="11" max="16384" width="11.42578125" style="57"/>
  </cols>
  <sheetData>
    <row r="1" spans="1:10" ht="25.5" customHeight="1">
      <c r="A1" s="897" t="s">
        <v>168</v>
      </c>
      <c r="B1" s="897"/>
      <c r="C1" s="911" t="s">
        <v>337</v>
      </c>
      <c r="D1" s="912"/>
      <c r="E1" s="912"/>
      <c r="F1" s="912"/>
      <c r="G1" s="912"/>
      <c r="H1" s="912"/>
      <c r="I1" s="915" t="s">
        <v>339</v>
      </c>
      <c r="J1" s="915"/>
    </row>
    <row r="2" spans="1:10" ht="27" customHeight="1">
      <c r="A2" s="897"/>
      <c r="B2" s="897"/>
      <c r="C2" s="913"/>
      <c r="D2" s="914"/>
      <c r="E2" s="914"/>
      <c r="F2" s="914"/>
      <c r="G2" s="914"/>
      <c r="H2" s="914"/>
      <c r="I2" s="915" t="s">
        <v>165</v>
      </c>
      <c r="J2" s="915"/>
    </row>
    <row r="3" spans="1:10" ht="27" customHeight="1">
      <c r="A3" s="897"/>
      <c r="B3" s="897"/>
      <c r="C3" s="917" t="s">
        <v>340</v>
      </c>
      <c r="D3" s="918"/>
      <c r="E3" s="918"/>
      <c r="F3" s="918"/>
      <c r="G3" s="918"/>
      <c r="H3" s="919"/>
      <c r="I3" s="916">
        <v>41948</v>
      </c>
      <c r="J3" s="916"/>
    </row>
    <row r="5" spans="1:10" ht="17.25" customHeight="1">
      <c r="A5" s="41" t="s">
        <v>190</v>
      </c>
      <c r="B5" s="908" t="s">
        <v>193</v>
      </c>
      <c r="C5" s="909"/>
      <c r="E5" s="57" t="s">
        <v>199</v>
      </c>
      <c r="F5" s="910" t="s">
        <v>198</v>
      </c>
      <c r="G5" s="910"/>
      <c r="I5" s="908" t="s">
        <v>177</v>
      </c>
      <c r="J5" s="909"/>
    </row>
    <row r="6" spans="1:10" ht="17.25" customHeight="1">
      <c r="A6" s="41"/>
      <c r="B6" s="39" t="s">
        <v>180</v>
      </c>
      <c r="C6" s="42">
        <v>5214363</v>
      </c>
      <c r="F6" s="3" t="s">
        <v>175</v>
      </c>
      <c r="G6" s="61">
        <v>2221051.1138749602</v>
      </c>
      <c r="I6" s="3" t="s">
        <v>216</v>
      </c>
      <c r="J6" s="40">
        <v>0.12</v>
      </c>
    </row>
    <row r="7" spans="1:10" ht="17.25" customHeight="1">
      <c r="A7" s="41"/>
      <c r="B7" s="3" t="s">
        <v>212</v>
      </c>
      <c r="C7" s="36">
        <f>C6*J16</f>
        <v>2756225.2019378999</v>
      </c>
      <c r="F7" s="3" t="s">
        <v>212</v>
      </c>
      <c r="G7" s="36">
        <f>G6*J16</f>
        <v>1174010.5272407022</v>
      </c>
      <c r="I7" s="3" t="s">
        <v>181</v>
      </c>
      <c r="J7" s="40">
        <v>8.5000000000000006E-2</v>
      </c>
    </row>
    <row r="8" spans="1:10" ht="17.25" customHeight="1">
      <c r="A8" s="41"/>
      <c r="B8" s="3" t="s">
        <v>178</v>
      </c>
      <c r="C8" s="36">
        <f>SUM(C6:C7)</f>
        <v>7970588.2019378999</v>
      </c>
      <c r="F8" s="3" t="s">
        <v>178</v>
      </c>
      <c r="G8" s="36">
        <f>SUM(G6:G7)</f>
        <v>3395061.6411156626</v>
      </c>
      <c r="I8" s="3" t="s">
        <v>182</v>
      </c>
      <c r="J8" s="40">
        <v>2.4400000000000002E-2</v>
      </c>
    </row>
    <row r="9" spans="1:10" ht="18.75" customHeight="1">
      <c r="A9" s="41"/>
      <c r="B9" s="3" t="s">
        <v>179</v>
      </c>
      <c r="C9" s="3">
        <v>240</v>
      </c>
      <c r="F9" s="3" t="s">
        <v>179</v>
      </c>
      <c r="G9" s="3">
        <v>240</v>
      </c>
      <c r="I9" s="3" t="s">
        <v>185</v>
      </c>
      <c r="J9" s="40">
        <v>0.04</v>
      </c>
    </row>
    <row r="10" spans="1:10" ht="18.75" customHeight="1">
      <c r="A10" s="41"/>
      <c r="B10" s="37" t="s">
        <v>525</v>
      </c>
      <c r="C10" s="38">
        <f>C11*8</f>
        <v>265686.27339793002</v>
      </c>
      <c r="F10" s="37" t="s">
        <v>525</v>
      </c>
      <c r="G10" s="38">
        <f>G11*8</f>
        <v>113168.72137052209</v>
      </c>
      <c r="I10" s="3" t="s">
        <v>186</v>
      </c>
      <c r="J10" s="40">
        <v>0.02</v>
      </c>
    </row>
    <row r="11" spans="1:10">
      <c r="A11" s="41"/>
      <c r="B11" s="37" t="s">
        <v>206</v>
      </c>
      <c r="C11" s="38">
        <f>C8/C9</f>
        <v>33210.784174741253</v>
      </c>
      <c r="F11" s="37" t="s">
        <v>219</v>
      </c>
      <c r="G11" s="38">
        <f>G8/G9</f>
        <v>14146.090171315262</v>
      </c>
      <c r="I11" s="3" t="s">
        <v>187</v>
      </c>
      <c r="J11" s="40">
        <v>0.03</v>
      </c>
    </row>
    <row r="12" spans="1:10">
      <c r="I12" s="3" t="s">
        <v>183</v>
      </c>
      <c r="J12" s="40">
        <v>8.3299999999999999E-2</v>
      </c>
    </row>
    <row r="13" spans="1:10">
      <c r="A13" s="41" t="s">
        <v>191</v>
      </c>
      <c r="B13" s="910" t="s">
        <v>194</v>
      </c>
      <c r="C13" s="910"/>
      <c r="E13" s="57" t="s">
        <v>200</v>
      </c>
      <c r="F13" s="910" t="s">
        <v>414</v>
      </c>
      <c r="G13" s="910"/>
      <c r="I13" s="3" t="s">
        <v>184</v>
      </c>
      <c r="J13" s="40">
        <v>8.3299999999999999E-2</v>
      </c>
    </row>
    <row r="14" spans="1:10">
      <c r="A14" s="41"/>
      <c r="B14" s="3" t="s">
        <v>173</v>
      </c>
      <c r="C14" s="61">
        <v>4884821</v>
      </c>
      <c r="F14" s="3" t="s">
        <v>204</v>
      </c>
      <c r="G14" s="36">
        <v>2592992.8622288546</v>
      </c>
      <c r="I14" s="3" t="s">
        <v>188</v>
      </c>
      <c r="J14" s="40">
        <v>4.1700000000000001E-2</v>
      </c>
    </row>
    <row r="15" spans="1:10">
      <c r="A15" s="41"/>
      <c r="B15" s="3" t="s">
        <v>212</v>
      </c>
      <c r="C15" s="36">
        <f>C14*J16</f>
        <v>2582034.8040892999</v>
      </c>
      <c r="F15" s="3" t="s">
        <v>212</v>
      </c>
      <c r="G15" s="36">
        <f>G14*$J$16</f>
        <v>1370612.7239933733</v>
      </c>
      <c r="I15" s="3" t="s">
        <v>189</v>
      </c>
      <c r="J15" s="40">
        <v>8.8329999999999995E-4</v>
      </c>
    </row>
    <row r="16" spans="1:10" ht="30">
      <c r="A16" s="41"/>
      <c r="B16" s="3" t="s">
        <v>178</v>
      </c>
      <c r="C16" s="36">
        <f>SUM(C14:C15)</f>
        <v>7466855.8040893003</v>
      </c>
      <c r="F16" s="3" t="s">
        <v>178</v>
      </c>
      <c r="G16" s="36">
        <f>SUM(G14:G15)</f>
        <v>3963605.5862222277</v>
      </c>
      <c r="I16" s="521" t="s">
        <v>217</v>
      </c>
      <c r="J16" s="522">
        <f>SUM(J6:J15)</f>
        <v>0.52858329999999998</v>
      </c>
    </row>
    <row r="17" spans="1:10" ht="15" customHeight="1">
      <c r="A17" s="41"/>
      <c r="B17" s="3" t="s">
        <v>179</v>
      </c>
      <c r="C17" s="3">
        <v>240</v>
      </c>
      <c r="F17" s="3" t="s">
        <v>179</v>
      </c>
      <c r="G17" s="3">
        <v>240</v>
      </c>
      <c r="I17" s="523"/>
      <c r="J17" s="524"/>
    </row>
    <row r="18" spans="1:10">
      <c r="A18" s="41"/>
      <c r="B18" s="37" t="s">
        <v>525</v>
      </c>
      <c r="C18" s="38">
        <f>C19*8</f>
        <v>248895.19346964333</v>
      </c>
      <c r="F18" s="37" t="s">
        <v>525</v>
      </c>
      <c r="G18" s="38">
        <f>G19*8</f>
        <v>132120.18620740759</v>
      </c>
      <c r="I18" s="525"/>
      <c r="J18" s="526"/>
    </row>
    <row r="19" spans="1:10">
      <c r="B19" s="37" t="s">
        <v>207</v>
      </c>
      <c r="C19" s="38">
        <f>C16/C17</f>
        <v>31111.899183705416</v>
      </c>
      <c r="F19" s="37" t="s">
        <v>220</v>
      </c>
      <c r="G19" s="38">
        <f>G16/G17</f>
        <v>16515.023275925949</v>
      </c>
    </row>
    <row r="20" spans="1:10">
      <c r="A20" s="41"/>
    </row>
    <row r="21" spans="1:10">
      <c r="A21" s="41" t="s">
        <v>192</v>
      </c>
      <c r="B21" s="910" t="s">
        <v>195</v>
      </c>
      <c r="C21" s="910"/>
      <c r="E21" s="57" t="s">
        <v>201</v>
      </c>
      <c r="F21" s="910" t="s">
        <v>415</v>
      </c>
      <c r="G21" s="910"/>
    </row>
    <row r="22" spans="1:10">
      <c r="A22" s="41"/>
      <c r="B22" s="3" t="s">
        <v>174</v>
      </c>
      <c r="C22" s="61">
        <v>3162468</v>
      </c>
      <c r="F22" s="39" t="s">
        <v>176</v>
      </c>
      <c r="G22" s="36">
        <v>1915275.1687688171</v>
      </c>
    </row>
    <row r="23" spans="1:10">
      <c r="A23" s="41"/>
      <c r="B23" s="3" t="s">
        <v>212</v>
      </c>
      <c r="C23" s="36">
        <f>C22*$J$16</f>
        <v>1671627.7715844</v>
      </c>
      <c r="F23" s="3" t="s">
        <v>212</v>
      </c>
      <c r="G23" s="36">
        <f>G22*J16</f>
        <v>1012382.4691158782</v>
      </c>
    </row>
    <row r="24" spans="1:10">
      <c r="A24" s="41"/>
      <c r="B24" s="3" t="s">
        <v>178</v>
      </c>
      <c r="C24" s="36">
        <f>SUM(C22:C23)</f>
        <v>4834095.7715844</v>
      </c>
      <c r="F24" s="3" t="s">
        <v>178</v>
      </c>
      <c r="G24" s="36">
        <f>SUM(G22:G23)</f>
        <v>2927657.6378846951</v>
      </c>
    </row>
    <row r="25" spans="1:10">
      <c r="A25" s="41"/>
      <c r="B25" s="3" t="s">
        <v>179</v>
      </c>
      <c r="C25" s="3">
        <v>240</v>
      </c>
      <c r="F25" s="3" t="s">
        <v>179</v>
      </c>
      <c r="G25" s="3">
        <v>240</v>
      </c>
    </row>
    <row r="26" spans="1:10">
      <c r="A26" s="41"/>
      <c r="B26" s="37" t="s">
        <v>525</v>
      </c>
      <c r="C26" s="38">
        <f>C27*8</f>
        <v>161136.52571948001</v>
      </c>
      <c r="F26" s="37" t="s">
        <v>525</v>
      </c>
      <c r="G26" s="38">
        <f>G27*8</f>
        <v>97588.587929489833</v>
      </c>
    </row>
    <row r="27" spans="1:10">
      <c r="A27" s="41"/>
      <c r="B27" s="37" t="s">
        <v>208</v>
      </c>
      <c r="C27" s="38">
        <f>C24/C25</f>
        <v>20142.065714935001</v>
      </c>
      <c r="F27" s="37" t="s">
        <v>223</v>
      </c>
      <c r="G27" s="38">
        <f>G24/G25</f>
        <v>12198.573491186229</v>
      </c>
    </row>
    <row r="28" spans="1:10">
      <c r="A28" s="41"/>
    </row>
    <row r="29" spans="1:10">
      <c r="A29" s="41" t="s">
        <v>213</v>
      </c>
      <c r="B29" s="910" t="s">
        <v>203</v>
      </c>
      <c r="C29" s="910"/>
      <c r="E29" s="57" t="s">
        <v>215</v>
      </c>
      <c r="F29" s="910" t="s">
        <v>210</v>
      </c>
      <c r="G29" s="910"/>
    </row>
    <row r="30" spans="1:10">
      <c r="A30" s="41"/>
      <c r="B30" s="3" t="s">
        <v>211</v>
      </c>
      <c r="C30" s="61">
        <v>1100000</v>
      </c>
      <c r="F30" s="3" t="s">
        <v>218</v>
      </c>
      <c r="G30" s="61">
        <v>1500000</v>
      </c>
    </row>
    <row r="31" spans="1:10">
      <c r="A31" s="41"/>
      <c r="B31" s="3" t="s">
        <v>212</v>
      </c>
      <c r="C31" s="36">
        <f>C30*$J$16</f>
        <v>581441.63</v>
      </c>
      <c r="F31" s="3" t="s">
        <v>212</v>
      </c>
      <c r="G31" s="36">
        <f>G30*$J$16</f>
        <v>792874.95</v>
      </c>
    </row>
    <row r="32" spans="1:10">
      <c r="A32" s="41"/>
      <c r="B32" s="3" t="s">
        <v>178</v>
      </c>
      <c r="C32" s="36">
        <f>SUM(C30:C31)</f>
        <v>1681441.63</v>
      </c>
      <c r="F32" s="3" t="s">
        <v>178</v>
      </c>
      <c r="G32" s="36">
        <f>SUM(G30:G31)</f>
        <v>2292874.9500000002</v>
      </c>
    </row>
    <row r="33" spans="1:7">
      <c r="A33" s="41"/>
      <c r="B33" s="3" t="s">
        <v>179</v>
      </c>
      <c r="C33" s="3">
        <v>240</v>
      </c>
      <c r="F33" s="3" t="s">
        <v>179</v>
      </c>
      <c r="G33" s="3">
        <v>240</v>
      </c>
    </row>
    <row r="34" spans="1:7">
      <c r="A34" s="41"/>
      <c r="B34" s="37" t="s">
        <v>525</v>
      </c>
      <c r="C34" s="38">
        <f>C35*8</f>
        <v>56048.054333333326</v>
      </c>
      <c r="F34" s="37" t="s">
        <v>525</v>
      </c>
      <c r="G34" s="38">
        <f>G35*8</f>
        <v>76429.165000000008</v>
      </c>
    </row>
    <row r="35" spans="1:7">
      <c r="A35" s="41"/>
      <c r="B35" s="37" t="s">
        <v>222</v>
      </c>
      <c r="C35" s="38">
        <f>C32/C33</f>
        <v>7006.0067916666658</v>
      </c>
      <c r="F35" s="37" t="s">
        <v>224</v>
      </c>
      <c r="G35" s="38">
        <f>G32/G33</f>
        <v>9553.645625000001</v>
      </c>
    </row>
    <row r="36" spans="1:7">
      <c r="A36" s="41"/>
    </row>
    <row r="37" spans="1:7">
      <c r="A37" s="41" t="s">
        <v>214</v>
      </c>
      <c r="B37" s="910" t="s">
        <v>247</v>
      </c>
      <c r="C37" s="910"/>
      <c r="E37" s="57" t="s">
        <v>225</v>
      </c>
      <c r="F37" s="910" t="s">
        <v>202</v>
      </c>
      <c r="G37" s="910"/>
    </row>
    <row r="38" spans="1:7">
      <c r="A38" s="41"/>
      <c r="B38" s="3" t="s">
        <v>211</v>
      </c>
      <c r="C38" s="61">
        <v>2812292</v>
      </c>
      <c r="F38" s="3" t="s">
        <v>205</v>
      </c>
      <c r="G38" s="61">
        <v>1589906.4372640699</v>
      </c>
    </row>
    <row r="39" spans="1:7">
      <c r="A39" s="41"/>
      <c r="B39" s="3" t="s">
        <v>212</v>
      </c>
      <c r="C39" s="36">
        <f>C38*$J$16</f>
        <v>1486530.5859236</v>
      </c>
      <c r="F39" s="3" t="s">
        <v>212</v>
      </c>
      <c r="G39" s="36">
        <f>G38*J16</f>
        <v>840397.99130028498</v>
      </c>
    </row>
    <row r="40" spans="1:7">
      <c r="A40" s="41"/>
      <c r="B40" s="3" t="s">
        <v>178</v>
      </c>
      <c r="C40" s="36">
        <f>SUM(C38:C39)</f>
        <v>4298822.5859236</v>
      </c>
      <c r="F40" s="3" t="s">
        <v>178</v>
      </c>
      <c r="G40" s="36">
        <f>SUM(G38:G39)</f>
        <v>2430304.4285643548</v>
      </c>
    </row>
    <row r="41" spans="1:7">
      <c r="A41" s="41"/>
      <c r="B41" s="3" t="s">
        <v>179</v>
      </c>
      <c r="C41" s="3">
        <v>240</v>
      </c>
      <c r="F41" s="3" t="s">
        <v>179</v>
      </c>
      <c r="G41" s="3">
        <v>240</v>
      </c>
    </row>
    <row r="42" spans="1:7">
      <c r="A42" s="41"/>
      <c r="B42" s="37" t="s">
        <v>525</v>
      </c>
      <c r="C42" s="38">
        <f>C43*8</f>
        <v>143294.08619745335</v>
      </c>
      <c r="F42" s="37" t="s">
        <v>525</v>
      </c>
      <c r="G42" s="38">
        <f>G43*8</f>
        <v>81010.147618811825</v>
      </c>
    </row>
    <row r="43" spans="1:7">
      <c r="A43" s="41"/>
      <c r="B43" s="37" t="s">
        <v>226</v>
      </c>
      <c r="C43" s="38">
        <f>C40/C41</f>
        <v>17911.760774681668</v>
      </c>
      <c r="F43" s="37" t="s">
        <v>221</v>
      </c>
      <c r="G43" s="38">
        <f>G40/G41</f>
        <v>10126.268452351478</v>
      </c>
    </row>
    <row r="44" spans="1:7">
      <c r="A44" s="41"/>
    </row>
    <row r="45" spans="1:7">
      <c r="A45" s="41" t="s">
        <v>196</v>
      </c>
      <c r="B45" s="908" t="s">
        <v>413</v>
      </c>
      <c r="C45" s="909"/>
      <c r="E45" s="57" t="s">
        <v>248</v>
      </c>
      <c r="F45" s="43" t="s">
        <v>444</v>
      </c>
      <c r="G45" s="44"/>
    </row>
    <row r="46" spans="1:7">
      <c r="A46" s="41"/>
      <c r="B46" s="39" t="s">
        <v>197</v>
      </c>
      <c r="C46" s="61">
        <v>3000000</v>
      </c>
      <c r="F46" s="39" t="s">
        <v>197</v>
      </c>
      <c r="G46" s="42">
        <v>8600820</v>
      </c>
    </row>
    <row r="47" spans="1:7">
      <c r="A47" s="41"/>
      <c r="B47" s="3" t="s">
        <v>212</v>
      </c>
      <c r="C47" s="36">
        <f>C46*J16</f>
        <v>1585749.9</v>
      </c>
      <c r="F47" s="3" t="s">
        <v>212</v>
      </c>
      <c r="G47" s="36">
        <f>J16*G46</f>
        <v>4546249.818306</v>
      </c>
    </row>
    <row r="48" spans="1:7">
      <c r="A48" s="41"/>
      <c r="B48" s="3" t="s">
        <v>178</v>
      </c>
      <c r="C48" s="36">
        <f>SUM(C46:C47)</f>
        <v>4585749.9000000004</v>
      </c>
      <c r="F48" s="3" t="s">
        <v>178</v>
      </c>
      <c r="G48" s="36">
        <f>SUM(G46:G47)</f>
        <v>13147069.818305999</v>
      </c>
    </row>
    <row r="49" spans="1:7">
      <c r="A49" s="41"/>
      <c r="B49" s="3" t="s">
        <v>179</v>
      </c>
      <c r="C49" s="3">
        <v>240</v>
      </c>
      <c r="F49" s="3" t="s">
        <v>179</v>
      </c>
      <c r="G49" s="3">
        <v>240</v>
      </c>
    </row>
    <row r="50" spans="1:7">
      <c r="A50" s="41"/>
      <c r="B50" s="37" t="s">
        <v>525</v>
      </c>
      <c r="C50" s="38">
        <f>C51*8</f>
        <v>152858.33000000002</v>
      </c>
      <c r="F50" s="37" t="s">
        <v>525</v>
      </c>
      <c r="G50" s="38">
        <f>G51*8</f>
        <v>438235.66061019996</v>
      </c>
    </row>
    <row r="51" spans="1:7" ht="30">
      <c r="A51" s="41"/>
      <c r="B51" s="55" t="s">
        <v>209</v>
      </c>
      <c r="C51" s="56">
        <f>C48/C49</f>
        <v>19107.291250000002</v>
      </c>
      <c r="F51" s="55" t="s">
        <v>209</v>
      </c>
      <c r="G51" s="56">
        <f>G48/G49</f>
        <v>54779.457576274996</v>
      </c>
    </row>
    <row r="53" spans="1:7">
      <c r="A53" s="41"/>
      <c r="E53" s="57" t="s">
        <v>507</v>
      </c>
      <c r="F53" s="267" t="s">
        <v>508</v>
      </c>
      <c r="G53" s="268"/>
    </row>
    <row r="54" spans="1:7">
      <c r="A54" s="41"/>
      <c r="F54" s="39" t="s">
        <v>197</v>
      </c>
      <c r="G54" s="42">
        <v>3699766.3816694599</v>
      </c>
    </row>
    <row r="55" spans="1:7">
      <c r="A55" s="41"/>
      <c r="F55" s="3" t="s">
        <v>212</v>
      </c>
      <c r="G55" s="36">
        <f>G54*J16</f>
        <v>1955634.7232519025</v>
      </c>
    </row>
    <row r="56" spans="1:7">
      <c r="A56" s="41"/>
      <c r="F56" s="3" t="s">
        <v>178</v>
      </c>
      <c r="G56" s="36">
        <f>SUM(G54:G55)</f>
        <v>5655401.1049213624</v>
      </c>
    </row>
    <row r="57" spans="1:7">
      <c r="A57" s="41"/>
      <c r="F57" s="3" t="s">
        <v>179</v>
      </c>
      <c r="G57" s="3">
        <v>240</v>
      </c>
    </row>
    <row r="58" spans="1:7">
      <c r="A58" s="41"/>
      <c r="F58" s="37" t="s">
        <v>525</v>
      </c>
      <c r="G58" s="38">
        <f>G59*8</f>
        <v>188513.37016404542</v>
      </c>
    </row>
    <row r="59" spans="1:7">
      <c r="A59" s="41"/>
      <c r="F59" s="55" t="s">
        <v>209</v>
      </c>
      <c r="G59" s="56">
        <f>G56/G57</f>
        <v>23564.171270505678</v>
      </c>
    </row>
    <row r="60" spans="1:7">
      <c r="A60" s="41"/>
    </row>
    <row r="61" spans="1:7">
      <c r="A61" s="41"/>
    </row>
    <row r="62" spans="1:7">
      <c r="A62" s="41"/>
    </row>
    <row r="63" spans="1:7">
      <c r="A63" s="41"/>
    </row>
    <row r="64" spans="1:7">
      <c r="A64" s="41"/>
    </row>
    <row r="65" spans="1:1">
      <c r="A65" s="41"/>
    </row>
    <row r="66" spans="1:1">
      <c r="A66" s="41"/>
    </row>
    <row r="67" spans="1:1">
      <c r="A67" s="41"/>
    </row>
    <row r="68" spans="1:1">
      <c r="A68" s="41"/>
    </row>
    <row r="69" spans="1:1">
      <c r="A69" s="41"/>
    </row>
    <row r="70" spans="1:1">
      <c r="A70" s="41"/>
    </row>
    <row r="71" spans="1:1">
      <c r="A71" s="41"/>
    </row>
    <row r="72" spans="1:1">
      <c r="A72" s="41"/>
    </row>
  </sheetData>
  <mergeCells count="18">
    <mergeCell ref="B45:C45"/>
    <mergeCell ref="B37:C37"/>
    <mergeCell ref="B21:C21"/>
    <mergeCell ref="F5:G5"/>
    <mergeCell ref="F13:G13"/>
    <mergeCell ref="F21:G21"/>
    <mergeCell ref="F37:G37"/>
    <mergeCell ref="B29:C29"/>
    <mergeCell ref="F29:G29"/>
    <mergeCell ref="I5:J5"/>
    <mergeCell ref="B13:C13"/>
    <mergeCell ref="A1:B3"/>
    <mergeCell ref="B5:C5"/>
    <mergeCell ref="C1:H2"/>
    <mergeCell ref="I1:J1"/>
    <mergeCell ref="I2:J2"/>
    <mergeCell ref="I3:J3"/>
    <mergeCell ref="C3:H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V488"/>
  <sheetViews>
    <sheetView zoomScale="82" zoomScaleNormal="82" workbookViewId="0">
      <pane ySplit="6" topLeftCell="A132" activePane="bottomLeft" state="frozen"/>
      <selection activeCell="A30" sqref="A30:C41"/>
      <selection pane="bottomLeft" activeCell="J420" sqref="J420"/>
    </sheetView>
  </sheetViews>
  <sheetFormatPr baseColWidth="10" defaultRowHeight="15"/>
  <cols>
    <col min="1" max="2" width="2.42578125" customWidth="1"/>
    <col min="3" max="3" width="48.42578125" customWidth="1"/>
    <col min="4" max="4" width="17.7109375" customWidth="1"/>
    <col min="5" max="5" width="16.140625" customWidth="1"/>
    <col min="6" max="6" width="15.7109375" customWidth="1"/>
    <col min="7" max="7" width="18.7109375" customWidth="1"/>
    <col min="8" max="8" width="16.7109375" customWidth="1"/>
    <col min="9" max="9" width="15.7109375" customWidth="1"/>
    <col min="10" max="10" width="16.7109375" customWidth="1"/>
    <col min="11" max="11" width="16.5703125" customWidth="1"/>
    <col min="12" max="12" width="17.85546875" customWidth="1"/>
    <col min="13" max="13" width="16.85546875" customWidth="1"/>
    <col min="14" max="14" width="15.85546875" customWidth="1"/>
    <col min="15" max="15" width="17.5703125" customWidth="1"/>
    <col min="16" max="16" width="21.5703125" customWidth="1"/>
    <col min="17" max="17" width="34.7109375" customWidth="1"/>
  </cols>
  <sheetData>
    <row r="1" spans="1:17" s="57" customFormat="1">
      <c r="A1" s="921" t="s">
        <v>562</v>
      </c>
      <c r="B1" s="922"/>
      <c r="C1" s="923"/>
    </row>
    <row r="2" spans="1:17" s="57" customFormat="1" ht="15.75" thickBot="1">
      <c r="A2" s="924" t="s">
        <v>563</v>
      </c>
      <c r="B2" s="925"/>
      <c r="C2" s="926"/>
    </row>
    <row r="3" spans="1:17" ht="15" customHeight="1">
      <c r="A3" s="941" t="s">
        <v>253</v>
      </c>
      <c r="B3" s="930"/>
      <c r="C3" s="930"/>
      <c r="D3" s="930"/>
      <c r="E3" s="930"/>
      <c r="F3" s="930"/>
      <c r="G3" s="930"/>
      <c r="H3" s="930"/>
      <c r="I3" s="930"/>
      <c r="J3" s="930"/>
      <c r="K3" s="930"/>
      <c r="L3" s="930"/>
      <c r="M3" s="930"/>
      <c r="N3" s="930"/>
      <c r="O3" s="930"/>
      <c r="P3" s="930"/>
      <c r="Q3" s="942"/>
    </row>
    <row r="4" spans="1:17" ht="15" customHeight="1" thickBot="1">
      <c r="A4" s="943"/>
      <c r="B4" s="944"/>
      <c r="C4" s="944"/>
      <c r="D4" s="944"/>
      <c r="E4" s="944"/>
      <c r="F4" s="944"/>
      <c r="G4" s="944"/>
      <c r="H4" s="944"/>
      <c r="I4" s="944"/>
      <c r="J4" s="944"/>
      <c r="K4" s="944"/>
      <c r="L4" s="944"/>
      <c r="M4" s="944"/>
      <c r="N4" s="944"/>
      <c r="O4" s="944"/>
      <c r="P4" s="944"/>
      <c r="Q4" s="945"/>
    </row>
    <row r="5" spans="1:17" ht="19.5" customHeight="1" thickBot="1">
      <c r="A5" s="931" t="s">
        <v>31</v>
      </c>
      <c r="B5" s="932"/>
      <c r="C5" s="933"/>
      <c r="D5" s="239" t="s">
        <v>0</v>
      </c>
      <c r="E5" s="432" t="s">
        <v>1</v>
      </c>
      <c r="F5" s="432" t="s">
        <v>2</v>
      </c>
      <c r="G5" s="432" t="s">
        <v>3</v>
      </c>
      <c r="H5" s="433" t="s">
        <v>4</v>
      </c>
      <c r="I5" s="440" t="s">
        <v>5</v>
      </c>
      <c r="J5" s="239" t="s">
        <v>6</v>
      </c>
      <c r="K5" s="432" t="s">
        <v>7</v>
      </c>
      <c r="L5" s="432" t="s">
        <v>8</v>
      </c>
      <c r="M5" s="433" t="s">
        <v>240</v>
      </c>
      <c r="N5" s="239" t="s">
        <v>241</v>
      </c>
      <c r="O5" s="433" t="s">
        <v>242</v>
      </c>
      <c r="P5" s="1060" t="s">
        <v>164</v>
      </c>
      <c r="Q5" s="1061"/>
    </row>
    <row r="6" spans="1:17" s="25" customFormat="1" ht="20.25" customHeight="1" thickBot="1">
      <c r="A6" s="1115" t="s">
        <v>250</v>
      </c>
      <c r="B6" s="1116"/>
      <c r="C6" s="1117"/>
      <c r="D6" s="1083" t="s">
        <v>582</v>
      </c>
      <c r="E6" s="1102"/>
      <c r="F6" s="1102"/>
      <c r="G6" s="1102"/>
      <c r="H6" s="725">
        <v>2</v>
      </c>
      <c r="I6" s="454">
        <v>3</v>
      </c>
      <c r="J6" s="1099">
        <v>4</v>
      </c>
      <c r="K6" s="1100"/>
      <c r="L6" s="1100"/>
      <c r="M6" s="1101"/>
      <c r="N6" s="1083">
        <v>5</v>
      </c>
      <c r="O6" s="1084"/>
      <c r="P6" s="1118"/>
      <c r="Q6" s="1119"/>
    </row>
    <row r="7" spans="1:17" s="25" customFormat="1" ht="34.5" customHeight="1">
      <c r="A7" s="486"/>
      <c r="B7" s="487"/>
      <c r="C7" s="541" t="s">
        <v>413</v>
      </c>
      <c r="D7" s="542">
        <f>'02-HH-2014'!$C$50*$H$6</f>
        <v>305716.66000000003</v>
      </c>
      <c r="E7" s="543">
        <f>'02-HH-2014'!$C$50*$H$6</f>
        <v>305716.66000000003</v>
      </c>
      <c r="F7" s="543">
        <f>'02-HH-2014'!$C$50*$H$6</f>
        <v>305716.66000000003</v>
      </c>
      <c r="G7" s="543">
        <f>'02-HH-2014'!$C$50*$H$6</f>
        <v>305716.66000000003</v>
      </c>
      <c r="H7" s="544">
        <f>'02-HH-2014'!$C$50*$H$6</f>
        <v>305716.66000000003</v>
      </c>
      <c r="I7" s="545">
        <f>'02-HH-2014'!$C$50*I6</f>
        <v>458574.99000000005</v>
      </c>
      <c r="J7" s="542">
        <f>'02-HH-2014'!$C$50*$J$6</f>
        <v>611433.32000000007</v>
      </c>
      <c r="K7" s="543">
        <f>'02-HH-2014'!$C$50*$J$6</f>
        <v>611433.32000000007</v>
      </c>
      <c r="L7" s="543">
        <f>'02-HH-2014'!$C$50*$J$6</f>
        <v>611433.32000000007</v>
      </c>
      <c r="M7" s="544">
        <f>'02-HH-2014'!$C$50*$J$6</f>
        <v>611433.32000000007</v>
      </c>
      <c r="N7" s="542">
        <f>'02-HH-2014'!$C$50*$N$6</f>
        <v>764291.65000000014</v>
      </c>
      <c r="O7" s="544">
        <f>'02-HH-2014'!$C$50*$N$6</f>
        <v>764291.65000000014</v>
      </c>
      <c r="P7" s="1128" t="s">
        <v>510</v>
      </c>
      <c r="Q7" s="988"/>
    </row>
    <row r="8" spans="1:17" s="25" customFormat="1" ht="35.25" customHeight="1">
      <c r="A8" s="315"/>
      <c r="B8" s="313"/>
      <c r="C8" s="546" t="s">
        <v>412</v>
      </c>
      <c r="D8" s="488">
        <f>'02-HH-2014'!$G$18*$H$6</f>
        <v>264240.37241481518</v>
      </c>
      <c r="E8" s="314">
        <f>'02-HH-2014'!$G$18*$H$6</f>
        <v>264240.37241481518</v>
      </c>
      <c r="F8" s="314">
        <f>'02-HH-2014'!$G$18*$H$6</f>
        <v>264240.37241481518</v>
      </c>
      <c r="G8" s="314">
        <f>'02-HH-2014'!$G$18*$H$6</f>
        <v>264240.37241481518</v>
      </c>
      <c r="H8" s="489">
        <f>'02-HH-2014'!$G$18*$H$6</f>
        <v>264240.37241481518</v>
      </c>
      <c r="I8" s="488">
        <f>'02-HH-2014'!$G$18*I6</f>
        <v>396360.55862222274</v>
      </c>
      <c r="J8" s="488">
        <f>'02-HH-2014'!$G$18*$J$6</f>
        <v>528480.74482963036</v>
      </c>
      <c r="K8" s="314">
        <f>'02-HH-2014'!$G$18*$J$6</f>
        <v>528480.74482963036</v>
      </c>
      <c r="L8" s="314">
        <f>'02-HH-2014'!$G$18*$J$6</f>
        <v>528480.74482963036</v>
      </c>
      <c r="M8" s="489">
        <f>'02-HH-2014'!$G$18*$J$6</f>
        <v>528480.74482963036</v>
      </c>
      <c r="N8" s="488">
        <f>'02-HH-2014'!$G$18*$N$6</f>
        <v>660600.93103703798</v>
      </c>
      <c r="O8" s="489">
        <f>'02-HH-2014'!$G$18*$N$6</f>
        <v>660600.93103703798</v>
      </c>
      <c r="P8" s="955" t="s">
        <v>510</v>
      </c>
      <c r="Q8" s="956"/>
    </row>
    <row r="9" spans="1:17" s="25" customFormat="1" ht="35.25" customHeight="1">
      <c r="A9" s="312"/>
      <c r="B9" s="313"/>
      <c r="C9" s="546" t="s">
        <v>251</v>
      </c>
      <c r="D9" s="488">
        <f>'02-HH-2014'!$G$10*$H$6</f>
        <v>226337.44274104419</v>
      </c>
      <c r="E9" s="314">
        <f>'02-HH-2014'!$G$10*$H$6</f>
        <v>226337.44274104419</v>
      </c>
      <c r="F9" s="314">
        <f>'02-HH-2014'!$G$10*$H$6</f>
        <v>226337.44274104419</v>
      </c>
      <c r="G9" s="314">
        <f>'02-HH-2014'!$G$10*$H$6</f>
        <v>226337.44274104419</v>
      </c>
      <c r="H9" s="489">
        <f>'02-HH-2014'!$G$10*$H$6</f>
        <v>226337.44274104419</v>
      </c>
      <c r="I9" s="488">
        <f>'02-HH-2014'!$G$10*I6</f>
        <v>339506.16411156626</v>
      </c>
      <c r="J9" s="488">
        <f>'02-HH-2014'!$G$10*$J$6</f>
        <v>452674.88548208837</v>
      </c>
      <c r="K9" s="314">
        <f>'02-HH-2014'!$G$10*$J$6</f>
        <v>452674.88548208837</v>
      </c>
      <c r="L9" s="314">
        <f>'02-HH-2014'!$G$10*$J$6</f>
        <v>452674.88548208837</v>
      </c>
      <c r="M9" s="489">
        <f>'02-HH-2014'!$G$10*$J$6</f>
        <v>452674.88548208837</v>
      </c>
      <c r="N9" s="488">
        <f>'02-HH-2014'!$G$10*$N$6</f>
        <v>565843.60685261048</v>
      </c>
      <c r="O9" s="489">
        <f>'02-HH-2014'!$G$10*$N$6</f>
        <v>565843.60685261048</v>
      </c>
      <c r="P9" s="955" t="s">
        <v>510</v>
      </c>
      <c r="Q9" s="956"/>
    </row>
    <row r="10" spans="1:17" s="25" customFormat="1" ht="30.75" customHeight="1">
      <c r="A10" s="312"/>
      <c r="B10" s="313"/>
      <c r="C10" s="546" t="s">
        <v>210</v>
      </c>
      <c r="D10" s="488">
        <f>'02-HH-2014'!$G$34*$H$6</f>
        <v>152858.33000000002</v>
      </c>
      <c r="E10" s="314">
        <f>'02-HH-2014'!$G$34*$H$6</f>
        <v>152858.33000000002</v>
      </c>
      <c r="F10" s="314">
        <f>'02-HH-2014'!$G$34*$H$6</f>
        <v>152858.33000000002</v>
      </c>
      <c r="G10" s="314">
        <f>'02-HH-2014'!$G$34*$H$6</f>
        <v>152858.33000000002</v>
      </c>
      <c r="H10" s="489">
        <f>'02-HH-2014'!$G$34*$H$6</f>
        <v>152858.33000000002</v>
      </c>
      <c r="I10" s="488">
        <f>'02-HH-2014'!$G$34*$I$6</f>
        <v>229287.49500000002</v>
      </c>
      <c r="J10" s="488">
        <f>'02-HH-2014'!$G$34*$I$6</f>
        <v>229287.49500000002</v>
      </c>
      <c r="K10" s="314">
        <f>'02-HH-2014'!$G$34*$I$6</f>
        <v>229287.49500000002</v>
      </c>
      <c r="L10" s="314">
        <f>'02-HH-2014'!$G$34*$I$6</f>
        <v>229287.49500000002</v>
      </c>
      <c r="M10" s="489">
        <f>'02-HH-2014'!$G$34*$I$6</f>
        <v>229287.49500000002</v>
      </c>
      <c r="N10" s="488">
        <f>'02-HH-2014'!$G$34*$N$6</f>
        <v>382145.82500000007</v>
      </c>
      <c r="O10" s="489">
        <f>'02-HH-2014'!$G$34*$N$6</f>
        <v>382145.82500000007</v>
      </c>
      <c r="P10" s="955" t="s">
        <v>510</v>
      </c>
      <c r="Q10" s="956"/>
    </row>
    <row r="11" spans="1:17" s="25" customFormat="1" ht="30.75" customHeight="1">
      <c r="A11" s="312"/>
      <c r="B11" s="313"/>
      <c r="C11" s="546" t="s">
        <v>526</v>
      </c>
      <c r="D11" s="488">
        <f>'02-HH-2014'!$G$26*$H$6</f>
        <v>195177.17585897967</v>
      </c>
      <c r="E11" s="314">
        <f>'02-HH-2014'!$G$26*$H$6</f>
        <v>195177.17585897967</v>
      </c>
      <c r="F11" s="314">
        <f>'02-HH-2014'!$G$26*$H$6</f>
        <v>195177.17585897967</v>
      </c>
      <c r="G11" s="314">
        <f>'02-HH-2014'!$G$26*$H$6</f>
        <v>195177.17585897967</v>
      </c>
      <c r="H11" s="489">
        <f>'02-HH-2014'!$G$26*$H$6</f>
        <v>195177.17585897967</v>
      </c>
      <c r="I11" s="488">
        <f>'02-HH-2014'!$G$26*I6</f>
        <v>292765.76378846949</v>
      </c>
      <c r="J11" s="488">
        <f>'02-HH-2014'!$G$26*$J$6</f>
        <v>390354.35171795933</v>
      </c>
      <c r="K11" s="314">
        <f>'02-HH-2014'!$G$26*$J$6</f>
        <v>390354.35171795933</v>
      </c>
      <c r="L11" s="314">
        <f>'02-HH-2014'!$G$26*$J$6</f>
        <v>390354.35171795933</v>
      </c>
      <c r="M11" s="489">
        <f>'02-HH-2014'!$G$26*$J$6</f>
        <v>390354.35171795933</v>
      </c>
      <c r="N11" s="488">
        <f>'02-HH-2014'!$G$26*$N$6</f>
        <v>487942.93964744918</v>
      </c>
      <c r="O11" s="489">
        <f>'02-HH-2014'!$G$26*$N$6</f>
        <v>487942.93964744918</v>
      </c>
      <c r="P11" s="955" t="s">
        <v>510</v>
      </c>
      <c r="Q11" s="956"/>
    </row>
    <row r="12" spans="1:17" s="25" customFormat="1" ht="33.75" customHeight="1">
      <c r="A12" s="315"/>
      <c r="B12" s="313"/>
      <c r="C12" s="546" t="s">
        <v>252</v>
      </c>
      <c r="D12" s="488">
        <f>'02-HH-2014'!$G$42*$H$6</f>
        <v>162020.29523762365</v>
      </c>
      <c r="E12" s="314">
        <f>'02-HH-2014'!$G$42*$H$6</f>
        <v>162020.29523762365</v>
      </c>
      <c r="F12" s="314">
        <f>'02-HH-2014'!$G$42*$H$6</f>
        <v>162020.29523762365</v>
      </c>
      <c r="G12" s="314">
        <f>'02-HH-2014'!$G$42*$H$6</f>
        <v>162020.29523762365</v>
      </c>
      <c r="H12" s="489">
        <f>'02-HH-2014'!$G$42*$H$6</f>
        <v>162020.29523762365</v>
      </c>
      <c r="I12" s="488">
        <f>'02-HH-2014'!$G$42*I6</f>
        <v>243030.44285643549</v>
      </c>
      <c r="J12" s="488">
        <f>'02-HH-2014'!$G$42*$J$6</f>
        <v>324040.5904752473</v>
      </c>
      <c r="K12" s="314">
        <f>'02-HH-2014'!$G$42*$J$6</f>
        <v>324040.5904752473</v>
      </c>
      <c r="L12" s="314">
        <f>'02-HH-2014'!$G$42*$J$6</f>
        <v>324040.5904752473</v>
      </c>
      <c r="M12" s="489">
        <f>'02-HH-2014'!$G$42*$J$6</f>
        <v>324040.5904752473</v>
      </c>
      <c r="N12" s="488">
        <f>'02-HH-2014'!$G$42*$N$6</f>
        <v>405050.73809405911</v>
      </c>
      <c r="O12" s="489">
        <f>'02-HH-2014'!$G$42*$N$6</f>
        <v>405050.73809405911</v>
      </c>
      <c r="P12" s="955" t="s">
        <v>510</v>
      </c>
      <c r="Q12" s="956"/>
    </row>
    <row r="13" spans="1:17" s="57" customFormat="1" ht="15.75" customHeight="1" thickBot="1">
      <c r="A13" s="496"/>
      <c r="B13" s="497"/>
      <c r="C13" s="501" t="s">
        <v>509</v>
      </c>
      <c r="D13" s="438">
        <f t="shared" ref="D13:O13" si="0">SUM(D7:D12)</f>
        <v>1306350.2762524625</v>
      </c>
      <c r="E13" s="67">
        <f t="shared" si="0"/>
        <v>1306350.2762524625</v>
      </c>
      <c r="F13" s="67">
        <f t="shared" si="0"/>
        <v>1306350.2762524625</v>
      </c>
      <c r="G13" s="67">
        <f t="shared" si="0"/>
        <v>1306350.2762524625</v>
      </c>
      <c r="H13" s="439">
        <f t="shared" si="0"/>
        <v>1306350.2762524625</v>
      </c>
      <c r="I13" s="442">
        <f t="shared" si="0"/>
        <v>1959525.414378694</v>
      </c>
      <c r="J13" s="438">
        <f t="shared" si="0"/>
        <v>2536271.3875049255</v>
      </c>
      <c r="K13" s="67">
        <f t="shared" si="0"/>
        <v>2536271.3875049255</v>
      </c>
      <c r="L13" s="67">
        <f t="shared" si="0"/>
        <v>2536271.3875049255</v>
      </c>
      <c r="M13" s="439">
        <f t="shared" si="0"/>
        <v>2536271.3875049255</v>
      </c>
      <c r="N13" s="438">
        <f t="shared" si="0"/>
        <v>3265875.6906311573</v>
      </c>
      <c r="O13" s="439">
        <f t="shared" si="0"/>
        <v>3265875.6906311573</v>
      </c>
      <c r="P13" s="491"/>
      <c r="Q13" s="302"/>
    </row>
    <row r="14" spans="1:17" s="57" customFormat="1"/>
    <row r="15" spans="1:17" s="57" customFormat="1" ht="15.75" thickBot="1"/>
    <row r="16" spans="1:17" s="57" customFormat="1">
      <c r="A16" s="941" t="s">
        <v>535</v>
      </c>
      <c r="B16" s="930"/>
      <c r="C16" s="930"/>
      <c r="D16" s="930"/>
      <c r="E16" s="930"/>
      <c r="F16" s="930"/>
      <c r="G16" s="930"/>
      <c r="H16" s="930"/>
      <c r="I16" s="930"/>
      <c r="J16" s="930"/>
      <c r="K16" s="930"/>
      <c r="L16" s="930"/>
      <c r="M16" s="930"/>
      <c r="N16" s="930"/>
      <c r="O16" s="930"/>
      <c r="P16" s="930"/>
      <c r="Q16" s="942"/>
    </row>
    <row r="17" spans="1:22" s="57" customFormat="1" ht="15.75" thickBot="1">
      <c r="A17" s="943"/>
      <c r="B17" s="944"/>
      <c r="C17" s="944"/>
      <c r="D17" s="944"/>
      <c r="E17" s="944"/>
      <c r="F17" s="944"/>
      <c r="G17" s="944"/>
      <c r="H17" s="944"/>
      <c r="I17" s="944"/>
      <c r="J17" s="944"/>
      <c r="K17" s="944"/>
      <c r="L17" s="944"/>
      <c r="M17" s="944"/>
      <c r="N17" s="944"/>
      <c r="O17" s="944"/>
      <c r="P17" s="944"/>
      <c r="Q17" s="945"/>
    </row>
    <row r="18" spans="1:22" s="57" customFormat="1">
      <c r="A18" s="931" t="s">
        <v>31</v>
      </c>
      <c r="B18" s="932"/>
      <c r="C18" s="933"/>
      <c r="D18" s="239" t="s">
        <v>0</v>
      </c>
      <c r="E18" s="432" t="s">
        <v>1</v>
      </c>
      <c r="F18" s="432" t="s">
        <v>2</v>
      </c>
      <c r="G18" s="432" t="s">
        <v>3</v>
      </c>
      <c r="H18" s="494" t="s">
        <v>4</v>
      </c>
      <c r="I18" s="440" t="s">
        <v>5</v>
      </c>
      <c r="J18" s="239" t="s">
        <v>6</v>
      </c>
      <c r="K18" s="432" t="s">
        <v>7</v>
      </c>
      <c r="L18" s="432" t="s">
        <v>8</v>
      </c>
      <c r="M18" s="433" t="s">
        <v>240</v>
      </c>
      <c r="N18" s="239" t="s">
        <v>241</v>
      </c>
      <c r="O18" s="433" t="s">
        <v>242</v>
      </c>
      <c r="P18" s="929" t="s">
        <v>164</v>
      </c>
      <c r="Q18" s="995"/>
    </row>
    <row r="19" spans="1:22" s="57" customFormat="1" ht="24.75" customHeight="1" thickBot="1">
      <c r="A19" s="1046" t="s">
        <v>250</v>
      </c>
      <c r="B19" s="1047"/>
      <c r="C19" s="1048"/>
      <c r="D19" s="1083" t="s">
        <v>582</v>
      </c>
      <c r="E19" s="1102"/>
      <c r="F19" s="1102"/>
      <c r="G19" s="1102"/>
      <c r="H19" s="728">
        <v>2</v>
      </c>
      <c r="I19" s="470">
        <v>3</v>
      </c>
      <c r="J19" s="1049">
        <v>4</v>
      </c>
      <c r="K19" s="1050"/>
      <c r="L19" s="1050"/>
      <c r="M19" s="1051"/>
      <c r="N19" s="1052">
        <v>5</v>
      </c>
      <c r="O19" s="1053"/>
      <c r="P19" s="1054"/>
      <c r="Q19" s="1055"/>
    </row>
    <row r="20" spans="1:22" s="57" customFormat="1" ht="29.25" customHeight="1">
      <c r="A20" s="549"/>
      <c r="B20" s="550"/>
      <c r="C20" s="551" t="s">
        <v>413</v>
      </c>
      <c r="D20" s="726">
        <f>'02-HH-2014'!$C$50*$H$19</f>
        <v>305716.66000000003</v>
      </c>
      <c r="E20" s="727">
        <f>'02-HH-2014'!$C$50*$H$19</f>
        <v>305716.66000000003</v>
      </c>
      <c r="F20" s="727">
        <f>'02-HH-2014'!$C$50*$H$19</f>
        <v>305716.66000000003</v>
      </c>
      <c r="G20" s="727">
        <f>'02-HH-2014'!$C$50*$H$19</f>
        <v>305716.66000000003</v>
      </c>
      <c r="H20" s="729">
        <f>'02-HH-2014'!$C$50*$H$19</f>
        <v>305716.66000000003</v>
      </c>
      <c r="I20" s="732">
        <f>'02-HH-2014'!$C$50*I19</f>
        <v>458574.99000000005</v>
      </c>
      <c r="J20" s="726">
        <f>'02-HH-2014'!$C$50*$J$19</f>
        <v>611433.32000000007</v>
      </c>
      <c r="K20" s="727">
        <f>'02-HH-2014'!$C$50*$J$19</f>
        <v>611433.32000000007</v>
      </c>
      <c r="L20" s="727">
        <f>'02-HH-2014'!$C$50*$J$19</f>
        <v>611433.32000000007</v>
      </c>
      <c r="M20" s="734">
        <f>'02-HH-2014'!$C$50*$J$19</f>
        <v>611433.32000000007</v>
      </c>
      <c r="N20" s="726">
        <f>'02-HH-2014'!$C$50*$N$19</f>
        <v>764291.65000000014</v>
      </c>
      <c r="O20" s="734">
        <f>'02-HH-2014'!$C$50*$N$19</f>
        <v>764291.65000000014</v>
      </c>
      <c r="P20" s="987" t="s">
        <v>510</v>
      </c>
      <c r="Q20" s="988"/>
    </row>
    <row r="21" spans="1:22" s="57" customFormat="1" ht="27" customHeight="1">
      <c r="A21" s="126"/>
      <c r="B21" s="65"/>
      <c r="C21" s="548" t="s">
        <v>412</v>
      </c>
      <c r="D21" s="235">
        <f>'02-HH-2014'!$G$18*$H$19</f>
        <v>264240.37241481518</v>
      </c>
      <c r="E21" s="64">
        <f>'02-HH-2014'!$G$18*$H$19</f>
        <v>264240.37241481518</v>
      </c>
      <c r="F21" s="64">
        <f>'02-HH-2014'!$G$18*$H$19</f>
        <v>264240.37241481518</v>
      </c>
      <c r="G21" s="64">
        <f>'02-HH-2014'!$G$18*$H$19</f>
        <v>264240.37241481518</v>
      </c>
      <c r="H21" s="123">
        <f>'02-HH-2014'!$G$18*$H$19</f>
        <v>264240.37241481518</v>
      </c>
      <c r="I21" s="733">
        <f>'02-HH-2014'!$G$18*$I$19</f>
        <v>396360.55862222274</v>
      </c>
      <c r="J21" s="235">
        <f>'02-HH-2014'!$G$18*$I$19</f>
        <v>396360.55862222274</v>
      </c>
      <c r="K21" s="64">
        <f>'02-HH-2014'!$G$18*$I$19</f>
        <v>396360.55862222274</v>
      </c>
      <c r="L21" s="64">
        <f>'02-HH-2014'!$G$18*$I$19</f>
        <v>396360.55862222274</v>
      </c>
      <c r="M21" s="547">
        <f>'02-HH-2014'!$G$18*$I$19</f>
        <v>396360.55862222274</v>
      </c>
      <c r="N21" s="235">
        <f>'02-HH-2014'!$G$18*$N$19</f>
        <v>660600.93103703798</v>
      </c>
      <c r="O21" s="547">
        <f>'02-HH-2014'!$G$18*$N$19</f>
        <v>660600.93103703798</v>
      </c>
      <c r="P21" s="967" t="s">
        <v>510</v>
      </c>
      <c r="Q21" s="956"/>
    </row>
    <row r="22" spans="1:22" s="57" customFormat="1" ht="28.5" customHeight="1">
      <c r="A22" s="126"/>
      <c r="B22" s="65"/>
      <c r="C22" s="548" t="s">
        <v>252</v>
      </c>
      <c r="D22" s="482">
        <f>'02-HH-2014'!$G$42*$H$19</f>
        <v>162020.29523762365</v>
      </c>
      <c r="E22" s="127">
        <f>'02-HH-2014'!$G$42*$H$19</f>
        <v>162020.29523762365</v>
      </c>
      <c r="F22" s="127">
        <f>'02-HH-2014'!$G$42*$H$19</f>
        <v>162020.29523762365</v>
      </c>
      <c r="G22" s="127">
        <f>'02-HH-2014'!$G$42*$H$19</f>
        <v>162020.29523762365</v>
      </c>
      <c r="H22" s="730">
        <f>'02-HH-2014'!$G$42*$H$19</f>
        <v>162020.29523762365</v>
      </c>
      <c r="I22" s="485">
        <f>'02-HH-2014'!$G$42*$I$19</f>
        <v>243030.44285643549</v>
      </c>
      <c r="J22" s="482">
        <f>'02-HH-2014'!$G$42*$I$19</f>
        <v>243030.44285643549</v>
      </c>
      <c r="K22" s="127">
        <f>'02-HH-2014'!$G$42*$I$19</f>
        <v>243030.44285643549</v>
      </c>
      <c r="L22" s="127">
        <f>'02-HH-2014'!$G$42*$I$19</f>
        <v>243030.44285643549</v>
      </c>
      <c r="M22" s="483">
        <f>'02-HH-2014'!$G$42*$I$19</f>
        <v>243030.44285643549</v>
      </c>
      <c r="N22" s="482">
        <f>'02-HH-2014'!$G$42*$N$19</f>
        <v>405050.73809405911</v>
      </c>
      <c r="O22" s="483">
        <f>'02-HH-2014'!$G$42*$N$19</f>
        <v>405050.73809405911</v>
      </c>
      <c r="P22" s="977" t="s">
        <v>418</v>
      </c>
      <c r="Q22" s="979"/>
    </row>
    <row r="23" spans="1:22" s="57" customFormat="1" ht="20.25" customHeight="1" thickBot="1">
      <c r="A23" s="939" t="s">
        <v>536</v>
      </c>
      <c r="B23" s="940"/>
      <c r="C23" s="1056"/>
      <c r="D23" s="438">
        <f>SUM(D20:D22)</f>
        <v>731977.32765243878</v>
      </c>
      <c r="E23" s="67">
        <f t="shared" ref="E23:O23" si="1">SUM(E20:E22)</f>
        <v>731977.32765243878</v>
      </c>
      <c r="F23" s="67">
        <f t="shared" si="1"/>
        <v>731977.32765243878</v>
      </c>
      <c r="G23" s="67">
        <f t="shared" si="1"/>
        <v>731977.32765243878</v>
      </c>
      <c r="H23" s="731">
        <f t="shared" si="1"/>
        <v>731977.32765243878</v>
      </c>
      <c r="I23" s="442">
        <f t="shared" si="1"/>
        <v>1097965.9914786583</v>
      </c>
      <c r="J23" s="438">
        <f t="shared" si="1"/>
        <v>1250824.3214786584</v>
      </c>
      <c r="K23" s="67">
        <f t="shared" si="1"/>
        <v>1250824.3214786584</v>
      </c>
      <c r="L23" s="67">
        <f t="shared" si="1"/>
        <v>1250824.3214786584</v>
      </c>
      <c r="M23" s="439">
        <f t="shared" si="1"/>
        <v>1250824.3214786584</v>
      </c>
      <c r="N23" s="438">
        <f t="shared" si="1"/>
        <v>1829943.3191310971</v>
      </c>
      <c r="O23" s="439">
        <f t="shared" si="1"/>
        <v>1829943.3191310971</v>
      </c>
      <c r="P23" s="1059"/>
      <c r="Q23" s="981"/>
    </row>
    <row r="24" spans="1:22" s="57" customFormat="1"/>
    <row r="25" spans="1:22" s="57" customFormat="1" ht="15.75" thickBot="1"/>
    <row r="26" spans="1:22" s="57" customFormat="1" ht="19.5" customHeight="1">
      <c r="A26" s="996" t="s">
        <v>514</v>
      </c>
      <c r="B26" s="997"/>
      <c r="C26" s="997"/>
      <c r="D26" s="997"/>
      <c r="E26" s="997"/>
      <c r="F26" s="997"/>
      <c r="G26" s="997"/>
      <c r="H26" s="997"/>
      <c r="I26" s="997"/>
      <c r="J26" s="997"/>
      <c r="K26" s="997"/>
      <c r="L26" s="997"/>
      <c r="M26" s="997"/>
      <c r="N26" s="997"/>
      <c r="O26" s="997"/>
      <c r="P26" s="997"/>
      <c r="Q26" s="998"/>
    </row>
    <row r="27" spans="1:22" s="57" customFormat="1" ht="19.5" customHeight="1" thickBot="1">
      <c r="A27" s="1085"/>
      <c r="B27" s="1086"/>
      <c r="C27" s="1086"/>
      <c r="D27" s="1086"/>
      <c r="E27" s="1086"/>
      <c r="F27" s="1086"/>
      <c r="G27" s="1086"/>
      <c r="H27" s="1086"/>
      <c r="I27" s="1086"/>
      <c r="J27" s="1086"/>
      <c r="K27" s="1086"/>
      <c r="L27" s="1086"/>
      <c r="M27" s="1086"/>
      <c r="N27" s="1086"/>
      <c r="O27" s="1086"/>
      <c r="P27" s="1086"/>
      <c r="Q27" s="1087"/>
    </row>
    <row r="28" spans="1:22" s="57" customFormat="1" ht="19.5" customHeight="1">
      <c r="A28" s="1110" t="s">
        <v>31</v>
      </c>
      <c r="B28" s="1111"/>
      <c r="C28" s="1112"/>
      <c r="D28" s="463" t="s">
        <v>0</v>
      </c>
      <c r="E28" s="464" t="s">
        <v>1</v>
      </c>
      <c r="F28" s="464" t="s">
        <v>2</v>
      </c>
      <c r="G28" s="464" t="s">
        <v>3</v>
      </c>
      <c r="H28" s="465" t="s">
        <v>4</v>
      </c>
      <c r="I28" s="469" t="s">
        <v>5</v>
      </c>
      <c r="J28" s="463" t="s">
        <v>6</v>
      </c>
      <c r="K28" s="464" t="s">
        <v>7</v>
      </c>
      <c r="L28" s="464" t="s">
        <v>8</v>
      </c>
      <c r="M28" s="465" t="s">
        <v>240</v>
      </c>
      <c r="N28" s="463" t="s">
        <v>241</v>
      </c>
      <c r="O28" s="465" t="s">
        <v>242</v>
      </c>
      <c r="P28" s="1060" t="s">
        <v>164</v>
      </c>
      <c r="Q28" s="1061"/>
    </row>
    <row r="29" spans="1:22" s="57" customFormat="1" ht="19.5" customHeight="1" thickBot="1">
      <c r="A29" s="335"/>
      <c r="B29" s="336"/>
      <c r="C29" s="461"/>
      <c r="D29" s="1096" t="s">
        <v>419</v>
      </c>
      <c r="E29" s="1097"/>
      <c r="F29" s="1097"/>
      <c r="G29" s="1097"/>
      <c r="H29" s="1098"/>
      <c r="I29" s="470" t="s">
        <v>420</v>
      </c>
      <c r="J29" s="1049" t="s">
        <v>421</v>
      </c>
      <c r="K29" s="1050"/>
      <c r="L29" s="1050"/>
      <c r="M29" s="1051"/>
      <c r="N29" s="1057" t="s">
        <v>422</v>
      </c>
      <c r="O29" s="1058"/>
      <c r="P29" s="957"/>
      <c r="Q29" s="958"/>
      <c r="S29" s="426"/>
      <c r="T29" s="426"/>
      <c r="U29" s="426"/>
      <c r="V29" s="426"/>
    </row>
    <row r="30" spans="1:22" s="57" customFormat="1" ht="40.5" customHeight="1">
      <c r="A30" s="474"/>
      <c r="B30" s="475"/>
      <c r="C30" s="478" t="s">
        <v>426</v>
      </c>
      <c r="D30" s="480">
        <v>1206279.0886468608</v>
      </c>
      <c r="E30" s="473">
        <v>1206279.0886468608</v>
      </c>
      <c r="F30" s="473">
        <v>1206279.0886468608</v>
      </c>
      <c r="G30" s="473">
        <v>1206279.0886468608</v>
      </c>
      <c r="H30" s="481">
        <v>1206279.0886468608</v>
      </c>
      <c r="I30" s="484">
        <v>1206279.0886468608</v>
      </c>
      <c r="J30" s="480">
        <v>1206279.0886468608</v>
      </c>
      <c r="K30" s="473">
        <v>1206279.0886468608</v>
      </c>
      <c r="L30" s="473">
        <v>1206279.0886468608</v>
      </c>
      <c r="M30" s="481">
        <v>1206279.0886468608</v>
      </c>
      <c r="N30" s="480">
        <v>1206279.0886468608</v>
      </c>
      <c r="O30" s="481">
        <v>1206279.0886468608</v>
      </c>
      <c r="P30" s="1090" t="s">
        <v>517</v>
      </c>
      <c r="Q30" s="1091"/>
      <c r="S30" s="422"/>
      <c r="T30" s="423"/>
      <c r="U30" s="423"/>
      <c r="V30" s="424"/>
    </row>
    <row r="31" spans="1:22" s="57" customFormat="1" ht="34.5" customHeight="1">
      <c r="A31" s="476"/>
      <c r="B31" s="477"/>
      <c r="C31" s="479" t="s">
        <v>427</v>
      </c>
      <c r="D31" s="482">
        <f>317491.9*2</f>
        <v>634983.80000000005</v>
      </c>
      <c r="E31" s="127">
        <f t="shared" ref="E31:H31" si="2">317491.9*2</f>
        <v>634983.80000000005</v>
      </c>
      <c r="F31" s="127">
        <f t="shared" si="2"/>
        <v>634983.80000000005</v>
      </c>
      <c r="G31" s="127">
        <f t="shared" si="2"/>
        <v>634983.80000000005</v>
      </c>
      <c r="H31" s="483">
        <f t="shared" si="2"/>
        <v>634983.80000000005</v>
      </c>
      <c r="I31" s="485">
        <f>317491.9*3</f>
        <v>952475.70000000007</v>
      </c>
      <c r="J31" s="482">
        <f>317491.9*4</f>
        <v>1269967.6000000001</v>
      </c>
      <c r="K31" s="127">
        <f t="shared" ref="K31:M31" si="3">317491.9*4</f>
        <v>1269967.6000000001</v>
      </c>
      <c r="L31" s="127">
        <f t="shared" si="3"/>
        <v>1269967.6000000001</v>
      </c>
      <c r="M31" s="483">
        <f t="shared" si="3"/>
        <v>1269967.6000000001</v>
      </c>
      <c r="N31" s="482">
        <f>317491.9*5</f>
        <v>1587459.5</v>
      </c>
      <c r="O31" s="483">
        <f>317491.9*5</f>
        <v>1587459.5</v>
      </c>
      <c r="P31" s="1090" t="s">
        <v>517</v>
      </c>
      <c r="Q31" s="1091"/>
      <c r="S31" s="422"/>
      <c r="T31" s="423"/>
      <c r="U31" s="423"/>
      <c r="V31" s="424"/>
    </row>
    <row r="32" spans="1:22" s="57" customFormat="1" ht="32.25" customHeight="1">
      <c r="A32" s="476"/>
      <c r="B32" s="477"/>
      <c r="C32" s="479" t="s">
        <v>428</v>
      </c>
      <c r="D32" s="482">
        <f>127001.6*2</f>
        <v>254003.20000000001</v>
      </c>
      <c r="E32" s="127">
        <f t="shared" ref="E32:H32" si="4">127001.6*2</f>
        <v>254003.20000000001</v>
      </c>
      <c r="F32" s="127">
        <f t="shared" si="4"/>
        <v>254003.20000000001</v>
      </c>
      <c r="G32" s="127">
        <f t="shared" si="4"/>
        <v>254003.20000000001</v>
      </c>
      <c r="H32" s="483">
        <f t="shared" si="4"/>
        <v>254003.20000000001</v>
      </c>
      <c r="I32" s="485">
        <f>127001.6*3</f>
        <v>381004.80000000005</v>
      </c>
      <c r="J32" s="482">
        <f>127001.6*4</f>
        <v>508006.40000000002</v>
      </c>
      <c r="K32" s="127">
        <f t="shared" ref="K32:M32" si="5">127001.6*4</f>
        <v>508006.40000000002</v>
      </c>
      <c r="L32" s="127">
        <f t="shared" si="5"/>
        <v>508006.40000000002</v>
      </c>
      <c r="M32" s="483">
        <f t="shared" si="5"/>
        <v>508006.40000000002</v>
      </c>
      <c r="N32" s="482">
        <f>127001.6*5</f>
        <v>635008</v>
      </c>
      <c r="O32" s="483">
        <f>127001.6*5</f>
        <v>635008</v>
      </c>
      <c r="P32" s="1090" t="s">
        <v>517</v>
      </c>
      <c r="Q32" s="1091"/>
      <c r="S32" s="422"/>
      <c r="T32" s="423"/>
      <c r="U32" s="423"/>
      <c r="V32" s="424"/>
    </row>
    <row r="33" spans="1:22" s="57" customFormat="1" ht="30" customHeight="1">
      <c r="A33" s="476"/>
      <c r="B33" s="477"/>
      <c r="C33" s="479" t="s">
        <v>429</v>
      </c>
      <c r="D33" s="482">
        <f>63500.8*2</f>
        <v>127001.60000000001</v>
      </c>
      <c r="E33" s="127">
        <f t="shared" ref="E33:H33" si="6">63500.8*2</f>
        <v>127001.60000000001</v>
      </c>
      <c r="F33" s="127">
        <f t="shared" si="6"/>
        <v>127001.60000000001</v>
      </c>
      <c r="G33" s="127">
        <f t="shared" si="6"/>
        <v>127001.60000000001</v>
      </c>
      <c r="H33" s="483">
        <f t="shared" si="6"/>
        <v>127001.60000000001</v>
      </c>
      <c r="I33" s="485">
        <f>63500.8*3</f>
        <v>190502.40000000002</v>
      </c>
      <c r="J33" s="482">
        <f>63500.8*4</f>
        <v>254003.20000000001</v>
      </c>
      <c r="K33" s="127">
        <f t="shared" ref="K33:M33" si="7">63500.8*4</f>
        <v>254003.20000000001</v>
      </c>
      <c r="L33" s="127">
        <f t="shared" si="7"/>
        <v>254003.20000000001</v>
      </c>
      <c r="M33" s="483">
        <f t="shared" si="7"/>
        <v>254003.20000000001</v>
      </c>
      <c r="N33" s="482">
        <f>63500.8*5</f>
        <v>317504</v>
      </c>
      <c r="O33" s="483">
        <f>63500.8*5</f>
        <v>317504</v>
      </c>
      <c r="P33" s="1090" t="s">
        <v>517</v>
      </c>
      <c r="Q33" s="1091"/>
      <c r="S33" s="422"/>
      <c r="T33" s="423"/>
      <c r="U33" s="423"/>
      <c r="V33" s="424"/>
    </row>
    <row r="34" spans="1:22" s="57" customFormat="1" ht="33" customHeight="1">
      <c r="A34" s="476"/>
      <c r="B34" s="477"/>
      <c r="C34" s="479" t="s">
        <v>430</v>
      </c>
      <c r="D34" s="482">
        <v>482596.39999999997</v>
      </c>
      <c r="E34" s="127">
        <v>482596.39999999997</v>
      </c>
      <c r="F34" s="127">
        <v>482596.39999999997</v>
      </c>
      <c r="G34" s="127">
        <f>482596.4*1.1</f>
        <v>530856.04</v>
      </c>
      <c r="H34" s="127">
        <f t="shared" ref="H34:O34" si="8">482596.4*1.1</f>
        <v>530856.04</v>
      </c>
      <c r="I34" s="127">
        <f t="shared" si="8"/>
        <v>530856.04</v>
      </c>
      <c r="J34" s="127">
        <f t="shared" si="8"/>
        <v>530856.04</v>
      </c>
      <c r="K34" s="127">
        <f t="shared" si="8"/>
        <v>530856.04</v>
      </c>
      <c r="L34" s="127">
        <f t="shared" si="8"/>
        <v>530856.04</v>
      </c>
      <c r="M34" s="127">
        <f t="shared" si="8"/>
        <v>530856.04</v>
      </c>
      <c r="N34" s="127">
        <f t="shared" si="8"/>
        <v>530856.04</v>
      </c>
      <c r="O34" s="127">
        <f t="shared" si="8"/>
        <v>530856.04</v>
      </c>
      <c r="P34" s="1090" t="s">
        <v>517</v>
      </c>
      <c r="Q34" s="1091"/>
      <c r="S34" s="422"/>
      <c r="T34" s="423"/>
      <c r="U34" s="423"/>
      <c r="V34" s="424"/>
    </row>
    <row r="35" spans="1:22" s="57" customFormat="1" ht="28.5" customHeight="1" thickBot="1">
      <c r="A35" s="499"/>
      <c r="B35" s="500"/>
      <c r="C35" s="501" t="s">
        <v>515</v>
      </c>
      <c r="D35" s="438">
        <f>SUM(D30:D34)</f>
        <v>2704864.0886468608</v>
      </c>
      <c r="E35" s="67">
        <f t="shared" ref="E35:O35" si="9">SUM(E30:E34)</f>
        <v>2704864.0886468608</v>
      </c>
      <c r="F35" s="67">
        <f t="shared" si="9"/>
        <v>2704864.0886468608</v>
      </c>
      <c r="G35" s="67">
        <f t="shared" si="9"/>
        <v>2753123.7286468609</v>
      </c>
      <c r="H35" s="439">
        <f t="shared" si="9"/>
        <v>2753123.7286468609</v>
      </c>
      <c r="I35" s="442">
        <f t="shared" si="9"/>
        <v>3261118.0286468607</v>
      </c>
      <c r="J35" s="438">
        <f t="shared" si="9"/>
        <v>3769112.328646861</v>
      </c>
      <c r="K35" s="67">
        <f t="shared" si="9"/>
        <v>3769112.328646861</v>
      </c>
      <c r="L35" s="67">
        <f t="shared" si="9"/>
        <v>3769112.328646861</v>
      </c>
      <c r="M35" s="439">
        <f t="shared" si="9"/>
        <v>3769112.328646861</v>
      </c>
      <c r="N35" s="438">
        <f t="shared" si="9"/>
        <v>4277106.6286468608</v>
      </c>
      <c r="O35" s="439">
        <f t="shared" si="9"/>
        <v>4277106.6286468608</v>
      </c>
      <c r="P35" s="1103"/>
      <c r="Q35" s="981"/>
      <c r="S35" s="422"/>
      <c r="T35" s="423"/>
      <c r="U35" s="423"/>
      <c r="V35" s="427"/>
    </row>
    <row r="36" spans="1:22" s="57" customFormat="1">
      <c r="S36" s="5"/>
      <c r="T36" s="5"/>
      <c r="U36" s="5"/>
      <c r="V36" s="5"/>
    </row>
    <row r="37" spans="1:22" s="57" customFormat="1" ht="15.75" thickBot="1">
      <c r="S37" s="5"/>
      <c r="T37" s="5"/>
      <c r="U37" s="5"/>
      <c r="V37" s="5"/>
    </row>
    <row r="38" spans="1:22" s="57" customFormat="1">
      <c r="A38" s="996" t="s">
        <v>431</v>
      </c>
      <c r="B38" s="997"/>
      <c r="C38" s="997"/>
      <c r="D38" s="997"/>
      <c r="E38" s="997"/>
      <c r="F38" s="997"/>
      <c r="G38" s="997"/>
      <c r="H38" s="997"/>
      <c r="I38" s="997"/>
      <c r="J38" s="997"/>
      <c r="K38" s="997"/>
      <c r="L38" s="997"/>
      <c r="M38" s="997"/>
      <c r="N38" s="997"/>
      <c r="O38" s="997"/>
      <c r="P38" s="997"/>
      <c r="Q38" s="998"/>
      <c r="S38" s="5"/>
      <c r="T38" s="5"/>
      <c r="U38" s="5"/>
      <c r="V38" s="5"/>
    </row>
    <row r="39" spans="1:22" s="57" customFormat="1" ht="15.75" thickBot="1">
      <c r="A39" s="1085"/>
      <c r="B39" s="1086"/>
      <c r="C39" s="1086"/>
      <c r="D39" s="1086"/>
      <c r="E39" s="1086"/>
      <c r="F39" s="1086"/>
      <c r="G39" s="1086"/>
      <c r="H39" s="1086"/>
      <c r="I39" s="1086"/>
      <c r="J39" s="1086"/>
      <c r="K39" s="1086"/>
      <c r="L39" s="1086"/>
      <c r="M39" s="1086"/>
      <c r="N39" s="1086"/>
      <c r="O39" s="1086"/>
      <c r="P39" s="1086"/>
      <c r="Q39" s="1087"/>
      <c r="S39" s="5"/>
      <c r="T39" s="5"/>
      <c r="U39" s="5"/>
      <c r="V39" s="5"/>
    </row>
    <row r="40" spans="1:22" s="57" customFormat="1">
      <c r="A40" s="1110" t="s">
        <v>31</v>
      </c>
      <c r="B40" s="1111"/>
      <c r="C40" s="1112"/>
      <c r="D40" s="463" t="s">
        <v>0</v>
      </c>
      <c r="E40" s="464" t="s">
        <v>1</v>
      </c>
      <c r="F40" s="464" t="s">
        <v>2</v>
      </c>
      <c r="G40" s="464" t="s">
        <v>3</v>
      </c>
      <c r="H40" s="465" t="s">
        <v>4</v>
      </c>
      <c r="I40" s="469" t="s">
        <v>5</v>
      </c>
      <c r="J40" s="463" t="s">
        <v>6</v>
      </c>
      <c r="K40" s="464" t="s">
        <v>7</v>
      </c>
      <c r="L40" s="464" t="s">
        <v>8</v>
      </c>
      <c r="M40" s="465" t="s">
        <v>240</v>
      </c>
      <c r="N40" s="463" t="s">
        <v>241</v>
      </c>
      <c r="O40" s="465" t="s">
        <v>242</v>
      </c>
      <c r="P40" s="1060" t="s">
        <v>164</v>
      </c>
      <c r="Q40" s="1061"/>
      <c r="S40" s="5"/>
      <c r="T40" s="5"/>
      <c r="U40" s="5"/>
      <c r="V40" s="5"/>
    </row>
    <row r="41" spans="1:22" s="57" customFormat="1" ht="19.5" customHeight="1" thickBot="1">
      <c r="A41" s="335"/>
      <c r="B41" s="336"/>
      <c r="C41" s="461"/>
      <c r="D41" s="1096" t="s">
        <v>583</v>
      </c>
      <c r="E41" s="1097"/>
      <c r="F41" s="1097"/>
      <c r="G41" s="1097"/>
      <c r="H41" s="1098"/>
      <c r="I41" s="470" t="s">
        <v>584</v>
      </c>
      <c r="J41" s="1049" t="s">
        <v>584</v>
      </c>
      <c r="K41" s="1050"/>
      <c r="L41" s="1050"/>
      <c r="M41" s="1051"/>
      <c r="N41" s="1057" t="s">
        <v>584</v>
      </c>
      <c r="O41" s="1058"/>
      <c r="P41" s="957"/>
      <c r="Q41" s="958"/>
      <c r="S41" s="426"/>
      <c r="T41" s="426"/>
      <c r="U41" s="426"/>
      <c r="V41" s="426"/>
    </row>
    <row r="42" spans="1:22" s="57" customFormat="1" ht="30" customHeight="1" thickBot="1">
      <c r="A42" s="458"/>
      <c r="B42" s="459"/>
      <c r="C42" s="462" t="s">
        <v>431</v>
      </c>
      <c r="D42" s="466">
        <f>E47</f>
        <v>1429000</v>
      </c>
      <c r="E42" s="460">
        <f>$E$48</f>
        <v>9791000</v>
      </c>
      <c r="F42" s="460">
        <f>$E$49</f>
        <v>9791000</v>
      </c>
      <c r="G42" s="460">
        <f>$E$50</f>
        <v>9980000</v>
      </c>
      <c r="H42" s="467">
        <f>$E$51</f>
        <v>9980000</v>
      </c>
      <c r="I42" s="471">
        <f>$E$52</f>
        <v>9980000</v>
      </c>
      <c r="J42" s="466">
        <f>$E$53</f>
        <v>32896000</v>
      </c>
      <c r="K42" s="460">
        <f>$E$53</f>
        <v>32896000</v>
      </c>
      <c r="L42" s="460">
        <f>$E$53</f>
        <v>32896000</v>
      </c>
      <c r="M42" s="467">
        <f>$E$53</f>
        <v>32896000</v>
      </c>
      <c r="N42" s="466">
        <f>$E$54</f>
        <v>32896000</v>
      </c>
      <c r="O42" s="467">
        <f>E54</f>
        <v>32896000</v>
      </c>
      <c r="P42" s="1104" t="s">
        <v>517</v>
      </c>
      <c r="Q42" s="1105"/>
      <c r="S42" s="422"/>
      <c r="T42" s="423"/>
      <c r="U42" s="423"/>
      <c r="V42" s="424"/>
    </row>
    <row r="43" spans="1:22" s="428" customFormat="1" ht="19.5" customHeight="1" thickBot="1">
      <c r="A43" s="502"/>
      <c r="B43" s="503"/>
      <c r="C43" s="504" t="s">
        <v>516</v>
      </c>
      <c r="D43" s="468">
        <f>SUM(D42)</f>
        <v>1429000</v>
      </c>
      <c r="E43" s="430">
        <f t="shared" ref="E43:O43" si="10">SUM(E42)</f>
        <v>9791000</v>
      </c>
      <c r="F43" s="430">
        <f t="shared" si="10"/>
        <v>9791000</v>
      </c>
      <c r="G43" s="430">
        <f t="shared" si="10"/>
        <v>9980000</v>
      </c>
      <c r="H43" s="431">
        <f t="shared" si="10"/>
        <v>9980000</v>
      </c>
      <c r="I43" s="472">
        <f t="shared" si="10"/>
        <v>9980000</v>
      </c>
      <c r="J43" s="468">
        <f t="shared" si="10"/>
        <v>32896000</v>
      </c>
      <c r="K43" s="430">
        <f t="shared" si="10"/>
        <v>32896000</v>
      </c>
      <c r="L43" s="430">
        <f t="shared" si="10"/>
        <v>32896000</v>
      </c>
      <c r="M43" s="431">
        <f t="shared" si="10"/>
        <v>32896000</v>
      </c>
      <c r="N43" s="468">
        <f t="shared" si="10"/>
        <v>32896000</v>
      </c>
      <c r="O43" s="431">
        <f t="shared" si="10"/>
        <v>32896000</v>
      </c>
      <c r="P43" s="493"/>
      <c r="Q43" s="492"/>
      <c r="S43" s="429"/>
      <c r="T43" s="429"/>
      <c r="U43" s="429"/>
      <c r="V43" s="429"/>
    </row>
    <row r="44" spans="1:22" s="57" customFormat="1" ht="15.75" thickBot="1"/>
    <row r="45" spans="1:22" s="57" customFormat="1" ht="16.5" customHeight="1">
      <c r="C45" s="1062" t="s">
        <v>546</v>
      </c>
      <c r="D45" s="1063"/>
      <c r="E45" s="1064"/>
    </row>
    <row r="46" spans="1:22" s="57" customFormat="1" ht="15.75" thickBot="1">
      <c r="C46" s="642" t="s">
        <v>438</v>
      </c>
      <c r="D46" s="1106" t="s">
        <v>432</v>
      </c>
      <c r="E46" s="1107"/>
      <c r="G46" s="527"/>
      <c r="H46" s="527"/>
    </row>
    <row r="47" spans="1:22" s="57" customFormat="1">
      <c r="C47" s="643" t="s">
        <v>433</v>
      </c>
      <c r="D47" s="644" t="s">
        <v>0</v>
      </c>
      <c r="E47" s="645">
        <v>1429000</v>
      </c>
      <c r="G47" s="520"/>
      <c r="H47" s="520"/>
    </row>
    <row r="48" spans="1:22" s="57" customFormat="1">
      <c r="C48" s="235" t="s">
        <v>434</v>
      </c>
      <c r="D48" s="130" t="s">
        <v>1</v>
      </c>
      <c r="E48" s="236">
        <v>9791000</v>
      </c>
      <c r="G48" s="520"/>
      <c r="H48" s="520"/>
    </row>
    <row r="49" spans="1:17" s="57" customFormat="1">
      <c r="C49" s="235" t="s">
        <v>434</v>
      </c>
      <c r="D49" s="130" t="s">
        <v>2</v>
      </c>
      <c r="E49" s="236">
        <v>9791000</v>
      </c>
      <c r="G49" s="520"/>
      <c r="H49" s="520"/>
    </row>
    <row r="50" spans="1:17" s="57" customFormat="1">
      <c r="C50" s="235" t="s">
        <v>435</v>
      </c>
      <c r="D50" s="130" t="s">
        <v>3</v>
      </c>
      <c r="E50" s="236">
        <v>9980000</v>
      </c>
      <c r="G50" s="520"/>
      <c r="H50" s="520"/>
    </row>
    <row r="51" spans="1:17" s="57" customFormat="1">
      <c r="C51" s="235" t="s">
        <v>435</v>
      </c>
      <c r="D51" s="130" t="s">
        <v>4</v>
      </c>
      <c r="E51" s="236">
        <v>9980000</v>
      </c>
      <c r="G51" s="119"/>
      <c r="H51" s="119"/>
    </row>
    <row r="52" spans="1:17" s="57" customFormat="1">
      <c r="C52" s="235" t="s">
        <v>435</v>
      </c>
      <c r="D52" s="130" t="s">
        <v>5</v>
      </c>
      <c r="E52" s="236">
        <v>9980000</v>
      </c>
      <c r="G52" s="520"/>
      <c r="H52" s="520"/>
    </row>
    <row r="53" spans="1:17" s="57" customFormat="1">
      <c r="C53" s="235" t="s">
        <v>436</v>
      </c>
      <c r="D53" s="130" t="s">
        <v>6</v>
      </c>
      <c r="E53" s="236">
        <v>32896000</v>
      </c>
      <c r="G53" s="5"/>
      <c r="H53" s="5"/>
    </row>
    <row r="54" spans="1:17" s="57" customFormat="1" ht="15.75" thickBot="1">
      <c r="C54" s="237" t="s">
        <v>437</v>
      </c>
      <c r="D54" s="240" t="s">
        <v>241</v>
      </c>
      <c r="E54" s="238">
        <v>32896000</v>
      </c>
      <c r="G54" s="5"/>
      <c r="H54" s="5"/>
    </row>
    <row r="55" spans="1:17" s="57" customFormat="1"/>
    <row r="56" spans="1:17" s="57" customFormat="1" ht="15.75" thickBot="1"/>
    <row r="57" spans="1:17">
      <c r="A57" s="941" t="s">
        <v>520</v>
      </c>
      <c r="B57" s="930"/>
      <c r="C57" s="930"/>
      <c r="D57" s="930"/>
      <c r="E57" s="930"/>
      <c r="F57" s="930"/>
      <c r="G57" s="930"/>
      <c r="H57" s="930"/>
      <c r="I57" s="930"/>
      <c r="J57" s="930"/>
      <c r="K57" s="930"/>
      <c r="L57" s="930"/>
      <c r="M57" s="930"/>
      <c r="N57" s="930"/>
      <c r="O57" s="930"/>
      <c r="P57" s="930"/>
      <c r="Q57" s="942"/>
    </row>
    <row r="58" spans="1:17" s="57" customFormat="1" ht="24.75" customHeight="1" thickBot="1">
      <c r="A58" s="943"/>
      <c r="B58" s="944"/>
      <c r="C58" s="944"/>
      <c r="D58" s="944"/>
      <c r="E58" s="944"/>
      <c r="F58" s="944"/>
      <c r="G58" s="944"/>
      <c r="H58" s="944"/>
      <c r="I58" s="944"/>
      <c r="J58" s="944"/>
      <c r="K58" s="944"/>
      <c r="L58" s="944"/>
      <c r="M58" s="944"/>
      <c r="N58" s="944"/>
      <c r="O58" s="944"/>
      <c r="P58" s="944"/>
      <c r="Q58" s="945"/>
    </row>
    <row r="59" spans="1:17" ht="24.75" customHeight="1">
      <c r="A59" s="931" t="s">
        <v>31</v>
      </c>
      <c r="B59" s="932"/>
      <c r="C59" s="933"/>
      <c r="D59" s="239" t="s">
        <v>0</v>
      </c>
      <c r="E59" s="432" t="s">
        <v>1</v>
      </c>
      <c r="F59" s="432" t="s">
        <v>2</v>
      </c>
      <c r="G59" s="432" t="s">
        <v>3</v>
      </c>
      <c r="H59" s="433" t="s">
        <v>4</v>
      </c>
      <c r="I59" s="440" t="s">
        <v>5</v>
      </c>
      <c r="J59" s="239" t="s">
        <v>6</v>
      </c>
      <c r="K59" s="432" t="s">
        <v>7</v>
      </c>
      <c r="L59" s="432" t="s">
        <v>8</v>
      </c>
      <c r="M59" s="433" t="s">
        <v>240</v>
      </c>
      <c r="N59" s="239" t="s">
        <v>241</v>
      </c>
      <c r="O59" s="433" t="s">
        <v>242</v>
      </c>
      <c r="P59" s="1060" t="s">
        <v>164</v>
      </c>
      <c r="Q59" s="1061"/>
    </row>
    <row r="60" spans="1:17" s="25" customFormat="1" ht="18" customHeight="1" thickBot="1">
      <c r="A60" s="451"/>
      <c r="B60" s="452"/>
      <c r="C60" s="453"/>
      <c r="D60" s="1077" t="s">
        <v>419</v>
      </c>
      <c r="E60" s="1078"/>
      <c r="F60" s="1078"/>
      <c r="G60" s="1078"/>
      <c r="H60" s="1079"/>
      <c r="I60" s="454" t="s">
        <v>420</v>
      </c>
      <c r="J60" s="1080" t="s">
        <v>421</v>
      </c>
      <c r="K60" s="1081"/>
      <c r="L60" s="1081"/>
      <c r="M60" s="1082"/>
      <c r="N60" s="1083" t="s">
        <v>422</v>
      </c>
      <c r="O60" s="1084"/>
      <c r="P60" s="1075"/>
      <c r="Q60" s="1076"/>
    </row>
    <row r="61" spans="1:17" s="25" customFormat="1" ht="45" customHeight="1">
      <c r="A61" s="444"/>
      <c r="B61" s="445"/>
      <c r="C61" s="446" t="s">
        <v>416</v>
      </c>
      <c r="D61" s="447">
        <f>385348*2</f>
        <v>770696</v>
      </c>
      <c r="E61" s="448">
        <f>385348*2</f>
        <v>770696</v>
      </c>
      <c r="F61" s="448">
        <f>385348*2</f>
        <v>770696</v>
      </c>
      <c r="G61" s="448">
        <f>385348*2</f>
        <v>770696</v>
      </c>
      <c r="H61" s="449">
        <f>385348*2</f>
        <v>770696</v>
      </c>
      <c r="I61" s="450">
        <f>385348*3</f>
        <v>1156044</v>
      </c>
      <c r="J61" s="447">
        <f>385348*4</f>
        <v>1541392</v>
      </c>
      <c r="K61" s="448">
        <f>385348*4</f>
        <v>1541392</v>
      </c>
      <c r="L61" s="448">
        <f>385348*4</f>
        <v>1541392</v>
      </c>
      <c r="M61" s="449">
        <f>385348*4</f>
        <v>1541392</v>
      </c>
      <c r="N61" s="447">
        <f>385348*5</f>
        <v>1926740</v>
      </c>
      <c r="O61" s="449">
        <f>385348*5</f>
        <v>1926740</v>
      </c>
      <c r="P61" s="1122" t="s">
        <v>512</v>
      </c>
      <c r="Q61" s="1123"/>
    </row>
    <row r="62" spans="1:17" s="25" customFormat="1" ht="46.5" customHeight="1">
      <c r="A62" s="312"/>
      <c r="B62" s="313"/>
      <c r="C62" s="443" t="s">
        <v>417</v>
      </c>
      <c r="D62" s="436">
        <f t="shared" ref="D62:O62" si="11">1269967</f>
        <v>1269967</v>
      </c>
      <c r="E62" s="425">
        <f t="shared" si="11"/>
        <v>1269967</v>
      </c>
      <c r="F62" s="425">
        <f t="shared" si="11"/>
        <v>1269967</v>
      </c>
      <c r="G62" s="425">
        <f t="shared" si="11"/>
        <v>1269967</v>
      </c>
      <c r="H62" s="437">
        <f t="shared" si="11"/>
        <v>1269967</v>
      </c>
      <c r="I62" s="441">
        <f t="shared" si="11"/>
        <v>1269967</v>
      </c>
      <c r="J62" s="436">
        <f t="shared" si="11"/>
        <v>1269967</v>
      </c>
      <c r="K62" s="425">
        <f t="shared" si="11"/>
        <v>1269967</v>
      </c>
      <c r="L62" s="425">
        <f t="shared" si="11"/>
        <v>1269967</v>
      </c>
      <c r="M62" s="437">
        <f t="shared" si="11"/>
        <v>1269967</v>
      </c>
      <c r="N62" s="437">
        <f t="shared" si="11"/>
        <v>1269967</v>
      </c>
      <c r="O62" s="437">
        <f t="shared" si="11"/>
        <v>1269967</v>
      </c>
      <c r="P62" s="1124" t="s">
        <v>511</v>
      </c>
      <c r="Q62" s="1125"/>
    </row>
    <row r="63" spans="1:17" s="25" customFormat="1" ht="44.25" customHeight="1">
      <c r="A63" s="312"/>
      <c r="B63" s="313"/>
      <c r="C63" s="443" t="s">
        <v>363</v>
      </c>
      <c r="D63" s="436">
        <f>(3000000/360)*2</f>
        <v>16666.666666666668</v>
      </c>
      <c r="E63" s="425">
        <f t="shared" ref="E63:H63" si="12">(3000000/360)*2</f>
        <v>16666.666666666668</v>
      </c>
      <c r="F63" s="425">
        <f t="shared" si="12"/>
        <v>16666.666666666668</v>
      </c>
      <c r="G63" s="425">
        <f t="shared" si="12"/>
        <v>16666.666666666668</v>
      </c>
      <c r="H63" s="437">
        <f t="shared" si="12"/>
        <v>16666.666666666668</v>
      </c>
      <c r="I63" s="441">
        <f>(3000000/360)*3</f>
        <v>25000</v>
      </c>
      <c r="J63" s="436">
        <f>(3000000/360)*4</f>
        <v>33333.333333333336</v>
      </c>
      <c r="K63" s="425">
        <f t="shared" ref="K63:M63" si="13">(3000000/360)*4</f>
        <v>33333.333333333336</v>
      </c>
      <c r="L63" s="425">
        <f t="shared" si="13"/>
        <v>33333.333333333336</v>
      </c>
      <c r="M63" s="437">
        <f t="shared" si="13"/>
        <v>33333.333333333336</v>
      </c>
      <c r="N63" s="436">
        <f>(3000000/360)*5</f>
        <v>41666.666666666672</v>
      </c>
      <c r="O63" s="437">
        <f>(3000000/360)*5</f>
        <v>41666.666666666672</v>
      </c>
      <c r="P63" s="1124"/>
      <c r="Q63" s="1125"/>
    </row>
    <row r="64" spans="1:17" s="25" customFormat="1" ht="48" customHeight="1">
      <c r="A64" s="312"/>
      <c r="B64" s="313"/>
      <c r="C64" s="443" t="s">
        <v>364</v>
      </c>
      <c r="D64" s="455">
        <f>8500*(100/12)*2</f>
        <v>141666.66666666669</v>
      </c>
      <c r="E64" s="434">
        <f t="shared" ref="E64:H64" si="14">8500*(100/12)*2</f>
        <v>141666.66666666669</v>
      </c>
      <c r="F64" s="434">
        <f t="shared" si="14"/>
        <v>141666.66666666669</v>
      </c>
      <c r="G64" s="434">
        <f t="shared" si="14"/>
        <v>141666.66666666669</v>
      </c>
      <c r="H64" s="456">
        <f t="shared" si="14"/>
        <v>141666.66666666669</v>
      </c>
      <c r="I64" s="457">
        <f>8500*(100/12)*2.5</f>
        <v>177083.33333333337</v>
      </c>
      <c r="J64" s="455">
        <f>8500*(100/12)*2.5</f>
        <v>177083.33333333337</v>
      </c>
      <c r="K64" s="434">
        <f>8500*(100/12)*3</f>
        <v>212500.00000000003</v>
      </c>
      <c r="L64" s="434">
        <f>8500*(100/12)*3.5</f>
        <v>247916.66666666669</v>
      </c>
      <c r="M64" s="456">
        <f>8500*(100/12)*3.8</f>
        <v>269166.66666666669</v>
      </c>
      <c r="N64" s="455">
        <f>8500*(100/12)*5</f>
        <v>354166.66666666674</v>
      </c>
      <c r="O64" s="456">
        <f>8500*(100/12)*5</f>
        <v>354166.66666666674</v>
      </c>
      <c r="P64" s="1124" t="s">
        <v>513</v>
      </c>
      <c r="Q64" s="1125"/>
    </row>
    <row r="65" spans="1:17" ht="20.25" customHeight="1" thickBot="1">
      <c r="A65" s="496"/>
      <c r="B65" s="497"/>
      <c r="C65" s="498" t="s">
        <v>521</v>
      </c>
      <c r="D65" s="438">
        <f t="shared" ref="D65:O65" si="15">SUM(D61:D64)</f>
        <v>2198996.3333333335</v>
      </c>
      <c r="E65" s="67">
        <f t="shared" si="15"/>
        <v>2198996.3333333335</v>
      </c>
      <c r="F65" s="67">
        <f t="shared" si="15"/>
        <v>2198996.3333333335</v>
      </c>
      <c r="G65" s="67">
        <f t="shared" si="15"/>
        <v>2198996.3333333335</v>
      </c>
      <c r="H65" s="439">
        <f t="shared" si="15"/>
        <v>2198996.3333333335</v>
      </c>
      <c r="I65" s="442">
        <f t="shared" si="15"/>
        <v>2628094.3333333335</v>
      </c>
      <c r="J65" s="438">
        <f t="shared" si="15"/>
        <v>3021775.666666667</v>
      </c>
      <c r="K65" s="67">
        <f t="shared" si="15"/>
        <v>3057192.3333333335</v>
      </c>
      <c r="L65" s="67">
        <f t="shared" si="15"/>
        <v>3092609</v>
      </c>
      <c r="M65" s="439">
        <f t="shared" si="15"/>
        <v>3113859</v>
      </c>
      <c r="N65" s="438">
        <f t="shared" si="15"/>
        <v>3592540.333333333</v>
      </c>
      <c r="O65" s="439">
        <f t="shared" si="15"/>
        <v>3592540.333333333</v>
      </c>
      <c r="P65" s="1103"/>
      <c r="Q65" s="981"/>
    </row>
    <row r="66" spans="1:17" s="57" customFormat="1" ht="15.75" thickBot="1">
      <c r="A66" s="951" t="s">
        <v>598</v>
      </c>
      <c r="B66" s="952"/>
      <c r="C66" s="952"/>
      <c r="D66" s="67">
        <v>70000</v>
      </c>
      <c r="E66" s="67">
        <v>70000</v>
      </c>
      <c r="F66" s="67">
        <v>70000</v>
      </c>
      <c r="G66" s="67">
        <v>70000</v>
      </c>
      <c r="H66" s="67">
        <v>70000</v>
      </c>
      <c r="I66" s="67">
        <v>70000</v>
      </c>
      <c r="J66" s="67">
        <v>70000</v>
      </c>
      <c r="K66" s="67">
        <v>70000</v>
      </c>
      <c r="L66" s="67">
        <v>70000</v>
      </c>
      <c r="M66" s="67">
        <v>70000</v>
      </c>
      <c r="N66" s="67">
        <v>70000</v>
      </c>
      <c r="O66" s="439">
        <v>70000</v>
      </c>
      <c r="P66" s="953" t="s">
        <v>599</v>
      </c>
      <c r="Q66" s="954"/>
    </row>
    <row r="67" spans="1:17" s="57" customFormat="1" ht="15.75" customHeight="1" thickBot="1"/>
    <row r="68" spans="1:17" s="57" customFormat="1" ht="19.5" customHeight="1">
      <c r="A68" s="941" t="s">
        <v>423</v>
      </c>
      <c r="B68" s="930"/>
      <c r="C68" s="930"/>
      <c r="D68" s="930"/>
      <c r="E68" s="930"/>
      <c r="F68" s="930"/>
      <c r="G68" s="930"/>
      <c r="H68" s="930"/>
      <c r="I68" s="930"/>
      <c r="J68" s="930"/>
      <c r="K68" s="930"/>
      <c r="L68" s="930"/>
      <c r="M68" s="930"/>
      <c r="N68" s="930"/>
      <c r="O68" s="930"/>
      <c r="P68" s="930"/>
      <c r="Q68" s="942"/>
    </row>
    <row r="69" spans="1:17" s="57" customFormat="1" ht="19.5" customHeight="1" thickBot="1">
      <c r="A69" s="943"/>
      <c r="B69" s="944"/>
      <c r="C69" s="944"/>
      <c r="D69" s="944"/>
      <c r="E69" s="944"/>
      <c r="F69" s="944"/>
      <c r="G69" s="944"/>
      <c r="H69" s="944"/>
      <c r="I69" s="944"/>
      <c r="J69" s="944"/>
      <c r="K69" s="944"/>
      <c r="L69" s="944"/>
      <c r="M69" s="944"/>
      <c r="N69" s="944"/>
      <c r="O69" s="944"/>
      <c r="P69" s="944"/>
      <c r="Q69" s="945"/>
    </row>
    <row r="70" spans="1:17" s="57" customFormat="1" ht="19.5" customHeight="1">
      <c r="A70" s="931" t="s">
        <v>31</v>
      </c>
      <c r="B70" s="932"/>
      <c r="C70" s="933"/>
      <c r="D70" s="239" t="s">
        <v>0</v>
      </c>
      <c r="E70" s="432" t="s">
        <v>1</v>
      </c>
      <c r="F70" s="432" t="s">
        <v>2</v>
      </c>
      <c r="G70" s="432" t="s">
        <v>3</v>
      </c>
      <c r="H70" s="433" t="s">
        <v>4</v>
      </c>
      <c r="I70" s="440" t="s">
        <v>5</v>
      </c>
      <c r="J70" s="239" t="s">
        <v>6</v>
      </c>
      <c r="K70" s="432" t="s">
        <v>7</v>
      </c>
      <c r="L70" s="432" t="s">
        <v>8</v>
      </c>
      <c r="M70" s="433" t="s">
        <v>240</v>
      </c>
      <c r="N70" s="239" t="s">
        <v>241</v>
      </c>
      <c r="O70" s="494" t="s">
        <v>242</v>
      </c>
      <c r="P70" s="1060" t="s">
        <v>164</v>
      </c>
      <c r="Q70" s="1061"/>
    </row>
    <row r="71" spans="1:17" s="25" customFormat="1" ht="19.5" customHeight="1" thickBot="1">
      <c r="A71" s="451"/>
      <c r="B71" s="452"/>
      <c r="C71" s="453"/>
      <c r="D71" s="1096" t="s">
        <v>583</v>
      </c>
      <c r="E71" s="1097"/>
      <c r="F71" s="1097"/>
      <c r="G71" s="1097"/>
      <c r="H71" s="1098"/>
      <c r="I71" s="454" t="s">
        <v>584</v>
      </c>
      <c r="J71" s="1099" t="s">
        <v>587</v>
      </c>
      <c r="K71" s="1100"/>
      <c r="L71" s="1100"/>
      <c r="M71" s="1101"/>
      <c r="N71" s="1083" t="s">
        <v>584</v>
      </c>
      <c r="O71" s="1102"/>
      <c r="P71" s="1075"/>
      <c r="Q71" s="1076"/>
    </row>
    <row r="72" spans="1:17" s="25" customFormat="1" ht="47.25" customHeight="1">
      <c r="A72" s="444"/>
      <c r="B72" s="445"/>
      <c r="C72" s="446" t="s">
        <v>586</v>
      </c>
      <c r="D72" s="735">
        <f>(1332000/8)*1*2</f>
        <v>333000</v>
      </c>
      <c r="E72" s="448">
        <f t="shared" ref="E72:O72" si="16">(1332000/8)*1*2</f>
        <v>333000</v>
      </c>
      <c r="F72" s="448">
        <f t="shared" si="16"/>
        <v>333000</v>
      </c>
      <c r="G72" s="448">
        <f t="shared" si="16"/>
        <v>333000</v>
      </c>
      <c r="H72" s="737">
        <f t="shared" si="16"/>
        <v>333000</v>
      </c>
      <c r="I72" s="447">
        <f t="shared" si="16"/>
        <v>333000</v>
      </c>
      <c r="J72" s="735">
        <f t="shared" si="16"/>
        <v>333000</v>
      </c>
      <c r="K72" s="448">
        <f t="shared" si="16"/>
        <v>333000</v>
      </c>
      <c r="L72" s="448">
        <f t="shared" si="16"/>
        <v>333000</v>
      </c>
      <c r="M72" s="743">
        <f t="shared" si="16"/>
        <v>333000</v>
      </c>
      <c r="N72" s="643">
        <f t="shared" si="16"/>
        <v>333000</v>
      </c>
      <c r="O72" s="737">
        <f t="shared" si="16"/>
        <v>333000</v>
      </c>
      <c r="P72" s="1122" t="s">
        <v>588</v>
      </c>
      <c r="Q72" s="1123"/>
    </row>
    <row r="73" spans="1:17" s="25" customFormat="1" ht="42.75" customHeight="1">
      <c r="A73" s="312"/>
      <c r="B73" s="313"/>
      <c r="C73" s="443" t="s">
        <v>585</v>
      </c>
      <c r="D73" s="736">
        <f>(200000/8)*1*2</f>
        <v>50000</v>
      </c>
      <c r="E73" s="425">
        <f t="shared" ref="E73:O73" si="17">(200000/8)*1*2</f>
        <v>50000</v>
      </c>
      <c r="F73" s="425">
        <f t="shared" si="17"/>
        <v>50000</v>
      </c>
      <c r="G73" s="495">
        <f t="shared" si="17"/>
        <v>50000</v>
      </c>
      <c r="H73" s="437">
        <f t="shared" si="17"/>
        <v>50000</v>
      </c>
      <c r="I73" s="736">
        <f t="shared" si="17"/>
        <v>50000</v>
      </c>
      <c r="J73" s="736">
        <f t="shared" si="17"/>
        <v>50000</v>
      </c>
      <c r="K73" s="425">
        <f t="shared" si="17"/>
        <v>50000</v>
      </c>
      <c r="L73" s="425">
        <f t="shared" si="17"/>
        <v>50000</v>
      </c>
      <c r="M73" s="739">
        <f t="shared" si="17"/>
        <v>50000</v>
      </c>
      <c r="N73" s="736">
        <f t="shared" si="17"/>
        <v>50000</v>
      </c>
      <c r="O73" s="437">
        <f t="shared" si="17"/>
        <v>50000</v>
      </c>
      <c r="P73" s="1124" t="s">
        <v>590</v>
      </c>
      <c r="Q73" s="1125"/>
    </row>
    <row r="74" spans="1:17" s="25" customFormat="1" ht="37.5" customHeight="1">
      <c r="A74" s="312"/>
      <c r="B74" s="313"/>
      <c r="C74" s="443" t="s">
        <v>424</v>
      </c>
      <c r="D74" s="736">
        <v>100000</v>
      </c>
      <c r="E74" s="425">
        <v>100000</v>
      </c>
      <c r="F74" s="425">
        <v>100000</v>
      </c>
      <c r="G74" s="425">
        <v>100000</v>
      </c>
      <c r="H74" s="738">
        <v>100000</v>
      </c>
      <c r="I74" s="441">
        <v>100000</v>
      </c>
      <c r="J74" s="736">
        <v>100000</v>
      </c>
      <c r="K74" s="425">
        <v>100000</v>
      </c>
      <c r="L74" s="425">
        <v>100000</v>
      </c>
      <c r="M74" s="738">
        <v>100000</v>
      </c>
      <c r="N74" s="436">
        <v>100000</v>
      </c>
      <c r="O74" s="739">
        <v>100000</v>
      </c>
      <c r="P74" s="1124" t="s">
        <v>518</v>
      </c>
      <c r="Q74" s="1125"/>
    </row>
    <row r="75" spans="1:17" s="25" customFormat="1" ht="40.5" customHeight="1" thickBot="1">
      <c r="A75" s="312"/>
      <c r="B75" s="313"/>
      <c r="C75" s="443" t="s">
        <v>425</v>
      </c>
      <c r="D75" s="736">
        <v>250000</v>
      </c>
      <c r="E75" s="425">
        <v>250000</v>
      </c>
      <c r="F75" s="425">
        <v>250000</v>
      </c>
      <c r="G75" s="425">
        <v>250000</v>
      </c>
      <c r="H75" s="738">
        <v>250000</v>
      </c>
      <c r="I75" s="441">
        <v>250000</v>
      </c>
      <c r="J75" s="744">
        <v>250000</v>
      </c>
      <c r="K75" s="745">
        <v>250000</v>
      </c>
      <c r="L75" s="745">
        <v>250000</v>
      </c>
      <c r="M75" s="746">
        <v>250000</v>
      </c>
      <c r="N75" s="436">
        <v>250000</v>
      </c>
      <c r="O75" s="739">
        <v>250000</v>
      </c>
      <c r="P75" s="1124" t="s">
        <v>519</v>
      </c>
      <c r="Q75" s="1125"/>
    </row>
    <row r="76" spans="1:17" s="57" customFormat="1" ht="24" customHeight="1">
      <c r="A76" s="537"/>
      <c r="B76" s="538"/>
      <c r="C76" s="751" t="s">
        <v>449</v>
      </c>
      <c r="D76" s="533">
        <f t="shared" ref="D76:O76" si="18">SUM(D72:D75)</f>
        <v>733000</v>
      </c>
      <c r="E76" s="534">
        <f t="shared" si="18"/>
        <v>733000</v>
      </c>
      <c r="F76" s="534">
        <f t="shared" si="18"/>
        <v>733000</v>
      </c>
      <c r="G76" s="534">
        <f t="shared" si="18"/>
        <v>733000</v>
      </c>
      <c r="H76" s="535">
        <f t="shared" si="18"/>
        <v>733000</v>
      </c>
      <c r="I76" s="539">
        <f t="shared" si="18"/>
        <v>733000</v>
      </c>
      <c r="J76" s="740">
        <f t="shared" si="18"/>
        <v>733000</v>
      </c>
      <c r="K76" s="741">
        <f t="shared" si="18"/>
        <v>733000</v>
      </c>
      <c r="L76" s="741">
        <f t="shared" si="18"/>
        <v>733000</v>
      </c>
      <c r="M76" s="742">
        <f t="shared" si="18"/>
        <v>733000</v>
      </c>
      <c r="N76" s="533">
        <f t="shared" si="18"/>
        <v>733000</v>
      </c>
      <c r="O76" s="536">
        <f t="shared" si="18"/>
        <v>733000</v>
      </c>
      <c r="P76" s="1126"/>
      <c r="Q76" s="1127"/>
    </row>
    <row r="77" spans="1:17" s="119" customFormat="1" ht="19.5" customHeight="1" thickBot="1">
      <c r="A77" s="540"/>
      <c r="B77" s="540"/>
      <c r="C77" s="540"/>
      <c r="P77" s="232"/>
      <c r="Q77" s="232"/>
    </row>
    <row r="78" spans="1:17" s="57" customFormat="1" ht="19.5" customHeight="1">
      <c r="A78" s="941" t="s">
        <v>11</v>
      </c>
      <c r="B78" s="930"/>
      <c r="C78" s="930"/>
      <c r="D78" s="930"/>
      <c r="E78" s="930"/>
      <c r="F78" s="930"/>
      <c r="G78" s="930"/>
      <c r="H78" s="930"/>
      <c r="I78" s="930"/>
      <c r="J78" s="930"/>
      <c r="K78" s="930"/>
      <c r="L78" s="930"/>
      <c r="M78" s="930"/>
      <c r="N78" s="930"/>
      <c r="O78" s="930"/>
      <c r="P78" s="930"/>
      <c r="Q78" s="942"/>
    </row>
    <row r="79" spans="1:17" s="57" customFormat="1" ht="19.5" customHeight="1" thickBot="1">
      <c r="A79" s="943"/>
      <c r="B79" s="944"/>
      <c r="C79" s="944"/>
      <c r="D79" s="944"/>
      <c r="E79" s="944"/>
      <c r="F79" s="944"/>
      <c r="G79" s="944"/>
      <c r="H79" s="944"/>
      <c r="I79" s="944"/>
      <c r="J79" s="944"/>
      <c r="K79" s="944"/>
      <c r="L79" s="944"/>
      <c r="M79" s="944"/>
      <c r="N79" s="944"/>
      <c r="O79" s="944"/>
      <c r="P79" s="944"/>
      <c r="Q79" s="945"/>
    </row>
    <row r="80" spans="1:17" s="57" customFormat="1" ht="19.5" customHeight="1">
      <c r="A80" s="1135" t="s">
        <v>31</v>
      </c>
      <c r="B80" s="1136"/>
      <c r="C80" s="1137"/>
      <c r="D80" s="239" t="s">
        <v>0</v>
      </c>
      <c r="E80" s="432" t="s">
        <v>1</v>
      </c>
      <c r="F80" s="432" t="s">
        <v>2</v>
      </c>
      <c r="G80" s="432" t="s">
        <v>3</v>
      </c>
      <c r="H80" s="433" t="s">
        <v>4</v>
      </c>
      <c r="I80" s="440" t="s">
        <v>5</v>
      </c>
      <c r="J80" s="239" t="s">
        <v>6</v>
      </c>
      <c r="K80" s="432" t="s">
        <v>7</v>
      </c>
      <c r="L80" s="432" t="s">
        <v>8</v>
      </c>
      <c r="M80" s="433" t="s">
        <v>240</v>
      </c>
      <c r="N80" s="239" t="s">
        <v>241</v>
      </c>
      <c r="O80" s="433" t="s">
        <v>242</v>
      </c>
      <c r="P80" s="1060" t="s">
        <v>164</v>
      </c>
      <c r="Q80" s="1061"/>
    </row>
    <row r="81" spans="1:17" s="25" customFormat="1" ht="40.5" customHeight="1" thickBot="1">
      <c r="A81" s="1138"/>
      <c r="B81" s="1139"/>
      <c r="C81" s="1107"/>
      <c r="D81" s="1067" t="s">
        <v>583</v>
      </c>
      <c r="E81" s="1068"/>
      <c r="F81" s="1068"/>
      <c r="G81" s="1068"/>
      <c r="H81" s="1069"/>
      <c r="I81" s="651" t="s">
        <v>584</v>
      </c>
      <c r="J81" s="1070" t="s">
        <v>584</v>
      </c>
      <c r="K81" s="1071"/>
      <c r="L81" s="1071"/>
      <c r="M81" s="1072"/>
      <c r="N81" s="1073" t="s">
        <v>584</v>
      </c>
      <c r="O81" s="1074"/>
      <c r="P81" s="1075"/>
      <c r="Q81" s="1076"/>
    </row>
    <row r="82" spans="1:17" s="57" customFormat="1" ht="63.75" customHeight="1" thickBot="1">
      <c r="A82" s="1140" t="s">
        <v>533</v>
      </c>
      <c r="B82" s="1141"/>
      <c r="C82" s="1142"/>
      <c r="D82" s="747">
        <f>SUM(D72:D73)*1*4</f>
        <v>1532000</v>
      </c>
      <c r="E82" s="749">
        <f t="shared" ref="E82:O82" si="19">SUM(E72:E73)*1*4</f>
        <v>1532000</v>
      </c>
      <c r="F82" s="749">
        <f t="shared" si="19"/>
        <v>1532000</v>
      </c>
      <c r="G82" s="749">
        <f t="shared" si="19"/>
        <v>1532000</v>
      </c>
      <c r="H82" s="748">
        <f t="shared" si="19"/>
        <v>1532000</v>
      </c>
      <c r="I82" s="747">
        <f t="shared" si="19"/>
        <v>1532000</v>
      </c>
      <c r="J82" s="747">
        <f t="shared" si="19"/>
        <v>1532000</v>
      </c>
      <c r="K82" s="749">
        <f t="shared" si="19"/>
        <v>1532000</v>
      </c>
      <c r="L82" s="749">
        <f t="shared" si="19"/>
        <v>1532000</v>
      </c>
      <c r="M82" s="748">
        <f t="shared" si="19"/>
        <v>1532000</v>
      </c>
      <c r="N82" s="747">
        <f t="shared" si="19"/>
        <v>1532000</v>
      </c>
      <c r="O82" s="750">
        <f t="shared" si="19"/>
        <v>1532000</v>
      </c>
      <c r="P82" s="1065" t="s">
        <v>589</v>
      </c>
      <c r="Q82" s="1066"/>
    </row>
    <row r="83" spans="1:17" s="57" customFormat="1" ht="19.5" customHeight="1">
      <c r="A83" s="537"/>
      <c r="B83" s="538"/>
      <c r="C83" s="532" t="s">
        <v>534</v>
      </c>
      <c r="D83" s="646">
        <f t="shared" ref="D83:K83" si="20">SUM(D79:D82)</f>
        <v>1532000</v>
      </c>
      <c r="E83" s="647">
        <f t="shared" si="20"/>
        <v>1532000</v>
      </c>
      <c r="F83" s="647">
        <f t="shared" si="20"/>
        <v>1532000</v>
      </c>
      <c r="G83" s="647">
        <f t="shared" si="20"/>
        <v>1532000</v>
      </c>
      <c r="H83" s="648">
        <f t="shared" si="20"/>
        <v>1532000</v>
      </c>
      <c r="I83" s="649">
        <f t="shared" si="20"/>
        <v>1532000</v>
      </c>
      <c r="J83" s="646">
        <f t="shared" si="20"/>
        <v>1532000</v>
      </c>
      <c r="K83" s="647">
        <f t="shared" si="20"/>
        <v>1532000</v>
      </c>
      <c r="L83" s="647">
        <f t="shared" ref="L83:O83" si="21">SUM(L79:L82)</f>
        <v>1532000</v>
      </c>
      <c r="M83" s="648">
        <f t="shared" si="21"/>
        <v>1532000</v>
      </c>
      <c r="N83" s="624">
        <f>SUM(N79:N82)</f>
        <v>1532000</v>
      </c>
      <c r="O83" s="650">
        <f t="shared" si="21"/>
        <v>1532000</v>
      </c>
      <c r="P83" s="1126"/>
      <c r="Q83" s="1127"/>
    </row>
    <row r="84" spans="1:17" s="57" customFormat="1"/>
    <row r="85" spans="1:17" s="57" customFormat="1" ht="15.75" thickBot="1"/>
    <row r="86" spans="1:17" s="57" customFormat="1" ht="25.5" customHeight="1" thickBot="1">
      <c r="C86" s="607"/>
      <c r="D86" s="930" t="str">
        <f>'05-ED-2014'!B18</f>
        <v>CORTE Y BISELADO</v>
      </c>
      <c r="E86" s="930"/>
      <c r="F86" s="930"/>
      <c r="G86" s="930"/>
      <c r="H86" s="930"/>
      <c r="I86" s="930"/>
      <c r="J86" s="930"/>
      <c r="K86" s="930"/>
      <c r="L86" s="930"/>
      <c r="M86" s="930"/>
      <c r="N86" s="930"/>
      <c r="O86" s="930"/>
      <c r="P86" s="655"/>
      <c r="Q86" s="656"/>
    </row>
    <row r="87" spans="1:17" s="57" customFormat="1" ht="19.5" customHeight="1">
      <c r="C87" s="564"/>
      <c r="D87" s="605" t="s">
        <v>0</v>
      </c>
      <c r="E87" s="464" t="s">
        <v>1</v>
      </c>
      <c r="F87" s="464" t="s">
        <v>2</v>
      </c>
      <c r="G87" s="464" t="s">
        <v>3</v>
      </c>
      <c r="H87" s="464" t="s">
        <v>4</v>
      </c>
      <c r="I87" s="464" t="s">
        <v>5</v>
      </c>
      <c r="J87" s="464" t="s">
        <v>6</v>
      </c>
      <c r="K87" s="464" t="s">
        <v>7</v>
      </c>
      <c r="L87" s="464" t="s">
        <v>8</v>
      </c>
      <c r="M87" s="464" t="s">
        <v>240</v>
      </c>
      <c r="N87" s="464" t="s">
        <v>241</v>
      </c>
      <c r="O87" s="653" t="s">
        <v>242</v>
      </c>
      <c r="P87" s="516"/>
      <c r="Q87" s="63"/>
    </row>
    <row r="88" spans="1:17" s="57" customFormat="1">
      <c r="C88" s="608" t="s">
        <v>549</v>
      </c>
      <c r="D88" s="515">
        <f>D89*('03-APU-2014'!$E$92*('03-APU-2014'!$E$93/'03-APU-2014'!$F$93)+'03-APU-2014'!$E$94*('03-APU-2014'!$E$95/'03-APU-2014'!$F$95))</f>
        <v>471176.76161116624</v>
      </c>
      <c r="E88" s="136">
        <f>E89*('03-APU-2014'!$E$92*('03-APU-2014'!$E$93/'03-APU-2014'!$F$93)+'03-APU-2014'!$E$94*('03-APU-2014'!$E$95/'03-APU-2014'!$F$95))</f>
        <v>673109.65944452316</v>
      </c>
      <c r="F88" s="136">
        <f>F89*('03-APU-2014'!$E$92*('03-APU-2014'!$E$93/'03-APU-2014'!$F$93)+'03-APU-2014'!$E$94*('03-APU-2014'!$E$95/'03-APU-2014'!$F$95))</f>
        <v>875042.55727788014</v>
      </c>
      <c r="G88" s="136">
        <f>G89*('03-APU-2014'!$E$92*('03-APU-2014'!$E$93/'03-APU-2014'!$F$93)+'03-APU-2014'!$E$94*('03-APU-2014'!$E$95/'03-APU-2014'!$F$95))</f>
        <v>1278908.3529445941</v>
      </c>
      <c r="H88" s="136">
        <f>H89*('03-APU-2014'!$E$92*('03-APU-2014'!$E$93/'03-APU-2014'!$F$93)+'03-APU-2014'!$E$94*('03-APU-2014'!$E$95/'03-APU-2014'!$F$95))</f>
        <v>1615463.1826668556</v>
      </c>
      <c r="I88" s="136">
        <f>I89*('03-APU-2014'!$E$92*('03-APU-2014'!$E$93/'03-APU-2014'!$F$93)+'03-APU-2014'!$E$94*('03-APU-2014'!$E$95/'03-APU-2014'!$F$95))</f>
        <v>2019328.9783335696</v>
      </c>
      <c r="J88" s="136">
        <f>J89*('03-APU-2014'!$E$92*('03-APU-2014'!$E$93/'03-APU-2014'!$F$93)+'03-APU-2014'!$E$94*('03-APU-2014'!$E$95/'03-APU-2014'!$F$95))</f>
        <v>2423194.7740002833</v>
      </c>
      <c r="K88" s="136">
        <f>K89*('03-APU-2014'!$E$92*('03-APU-2014'!$E$93/'03-APU-2014'!$F$93)+'03-APU-2014'!$E$94*('03-APU-2014'!$E$95/'03-APU-2014'!$F$95))</f>
        <v>2827060.5696669975</v>
      </c>
      <c r="L88" s="136">
        <f>L89*('03-APU-2014'!$E$92*('03-APU-2014'!$E$93/'03-APU-2014'!$F$93)+'03-APU-2014'!$E$94*('03-APU-2014'!$E$95/'03-APU-2014'!$F$95))</f>
        <v>3230926.3653337113</v>
      </c>
      <c r="M88" s="136">
        <f>L88</f>
        <v>3230926.3653337113</v>
      </c>
      <c r="N88" s="136">
        <f>L88</f>
        <v>3230926.3653337113</v>
      </c>
      <c r="O88" s="654">
        <f>L88</f>
        <v>3230926.3653337113</v>
      </c>
      <c r="P88" s="517"/>
      <c r="Q88" s="63"/>
    </row>
    <row r="89" spans="1:17" s="57" customFormat="1" ht="32.25" customHeight="1" thickBot="1">
      <c r="C89" s="609" t="s">
        <v>370</v>
      </c>
      <c r="D89" s="606">
        <v>350000</v>
      </c>
      <c r="E89" s="337">
        <v>500000</v>
      </c>
      <c r="F89" s="337">
        <v>650000</v>
      </c>
      <c r="G89" s="337">
        <v>950000</v>
      </c>
      <c r="H89" s="337">
        <v>1200000</v>
      </c>
      <c r="I89" s="337">
        <v>1500000</v>
      </c>
      <c r="J89" s="337">
        <v>1800000</v>
      </c>
      <c r="K89" s="337">
        <v>2100000</v>
      </c>
      <c r="L89" s="337">
        <v>2400000</v>
      </c>
      <c r="M89" s="337"/>
      <c r="N89" s="337"/>
      <c r="O89" s="652"/>
      <c r="P89" s="1021" t="s">
        <v>547</v>
      </c>
      <c r="Q89" s="1022"/>
    </row>
    <row r="90" spans="1:17" s="57" customFormat="1" ht="6.75" customHeight="1" thickBot="1"/>
    <row r="91" spans="1:17" s="57" customFormat="1">
      <c r="C91" s="610" t="s">
        <v>359</v>
      </c>
      <c r="D91" s="611"/>
      <c r="E91" s="612">
        <v>2014</v>
      </c>
      <c r="F91" s="613">
        <v>2004</v>
      </c>
    </row>
    <row r="92" spans="1:17" s="57" customFormat="1">
      <c r="C92" s="614" t="s">
        <v>349</v>
      </c>
      <c r="D92" s="518"/>
      <c r="E92" s="666">
        <v>0.32</v>
      </c>
      <c r="F92" s="39"/>
    </row>
    <row r="93" spans="1:17" s="57" customFormat="1">
      <c r="C93" s="614" t="s">
        <v>524</v>
      </c>
      <c r="D93" s="518"/>
      <c r="E93" s="667">
        <v>117.48858</v>
      </c>
      <c r="F93" s="667">
        <v>79.96987</v>
      </c>
    </row>
    <row r="94" spans="1:17" s="57" customFormat="1">
      <c r="C94" s="614" t="s">
        <v>350</v>
      </c>
      <c r="D94" s="518"/>
      <c r="E94" s="666">
        <v>0.68</v>
      </c>
      <c r="F94" s="39"/>
    </row>
    <row r="95" spans="1:17" s="57" customFormat="1" ht="15.75" thickBot="1">
      <c r="C95" s="615" t="s">
        <v>351</v>
      </c>
      <c r="D95" s="519"/>
      <c r="E95" s="134">
        <v>120.14</v>
      </c>
      <c r="F95" s="134">
        <v>93.25</v>
      </c>
    </row>
    <row r="96" spans="1:17" s="57" customFormat="1"/>
    <row r="97" spans="1:17" s="57" customFormat="1" ht="15.75" thickBot="1"/>
    <row r="98" spans="1:17" s="57" customFormat="1" ht="15" customHeight="1">
      <c r="A98" s="1023" t="s">
        <v>313</v>
      </c>
      <c r="B98" s="1024"/>
      <c r="C98" s="1024"/>
      <c r="D98" s="1025"/>
      <c r="E98" s="1032" t="s">
        <v>333</v>
      </c>
      <c r="F98" s="1032"/>
      <c r="G98" s="1032"/>
      <c r="H98" s="1032"/>
      <c r="I98" s="1032"/>
      <c r="J98" s="1032"/>
      <c r="K98" s="1032"/>
      <c r="L98" s="1032"/>
      <c r="M98" s="1032"/>
      <c r="N98" s="1032"/>
      <c r="O98" s="1033"/>
      <c r="P98" s="1143" t="s">
        <v>335</v>
      </c>
      <c r="Q98" s="1144"/>
    </row>
    <row r="99" spans="1:17" s="57" customFormat="1" ht="15" customHeight="1">
      <c r="A99" s="1026"/>
      <c r="B99" s="1027"/>
      <c r="C99" s="1027"/>
      <c r="D99" s="1028"/>
      <c r="E99" s="883"/>
      <c r="F99" s="883"/>
      <c r="G99" s="883"/>
      <c r="H99" s="883"/>
      <c r="I99" s="883"/>
      <c r="J99" s="883"/>
      <c r="K99" s="883"/>
      <c r="L99" s="883"/>
      <c r="M99" s="883"/>
      <c r="N99" s="883"/>
      <c r="O99" s="884"/>
      <c r="P99" s="1145"/>
      <c r="Q99" s="1146"/>
    </row>
    <row r="100" spans="1:17" s="57" customFormat="1" ht="15.75" customHeight="1">
      <c r="A100" s="1026"/>
      <c r="B100" s="1027"/>
      <c r="C100" s="1027"/>
      <c r="D100" s="1028"/>
      <c r="E100" s="1034" t="s">
        <v>334</v>
      </c>
      <c r="F100" s="1034"/>
      <c r="G100" s="1034"/>
      <c r="H100" s="1034"/>
      <c r="I100" s="1034"/>
      <c r="J100" s="1034"/>
      <c r="K100" s="1034"/>
      <c r="L100" s="1034"/>
      <c r="M100" s="1034"/>
      <c r="N100" s="1034"/>
      <c r="O100" s="1035"/>
      <c r="P100" s="1145" t="s">
        <v>165</v>
      </c>
      <c r="Q100" s="1146"/>
    </row>
    <row r="101" spans="1:17" s="57" customFormat="1" ht="15" customHeight="1" thickBot="1">
      <c r="A101" s="1029"/>
      <c r="B101" s="1030"/>
      <c r="C101" s="1030"/>
      <c r="D101" s="1031"/>
      <c r="E101" s="1036"/>
      <c r="F101" s="1036"/>
      <c r="G101" s="1036"/>
      <c r="H101" s="1036"/>
      <c r="I101" s="1036"/>
      <c r="J101" s="1036"/>
      <c r="K101" s="1036"/>
      <c r="L101" s="1036"/>
      <c r="M101" s="1036"/>
      <c r="N101" s="1036"/>
      <c r="O101" s="1037"/>
      <c r="P101" s="1147">
        <v>41948</v>
      </c>
      <c r="Q101" s="1148"/>
    </row>
    <row r="102" spans="1:17" ht="9" customHeight="1">
      <c r="A102" s="941" t="s">
        <v>237</v>
      </c>
      <c r="B102" s="930"/>
      <c r="C102" s="930"/>
      <c r="D102" s="930"/>
      <c r="E102" s="930"/>
      <c r="F102" s="930"/>
      <c r="G102" s="930"/>
      <c r="H102" s="930"/>
      <c r="I102" s="930"/>
      <c r="J102" s="930"/>
      <c r="K102" s="930"/>
      <c r="L102" s="930"/>
      <c r="M102" s="930"/>
      <c r="N102" s="930"/>
      <c r="O102" s="930"/>
      <c r="P102" s="930"/>
      <c r="Q102" s="942"/>
    </row>
    <row r="103" spans="1:17" ht="13.5" customHeight="1">
      <c r="A103" s="943"/>
      <c r="B103" s="944"/>
      <c r="C103" s="944"/>
      <c r="D103" s="944"/>
      <c r="E103" s="944"/>
      <c r="F103" s="944"/>
      <c r="G103" s="944"/>
      <c r="H103" s="944"/>
      <c r="I103" s="944"/>
      <c r="J103" s="944"/>
      <c r="K103" s="944"/>
      <c r="L103" s="944"/>
      <c r="M103" s="944"/>
      <c r="N103" s="944"/>
      <c r="O103" s="944"/>
      <c r="P103" s="944"/>
      <c r="Q103" s="945"/>
    </row>
    <row r="104" spans="1:17" ht="15.75" thickBot="1">
      <c r="A104" s="991" t="s">
        <v>31</v>
      </c>
      <c r="B104" s="992"/>
      <c r="C104" s="992"/>
      <c r="D104" s="604" t="s">
        <v>0</v>
      </c>
      <c r="E104" s="80" t="s">
        <v>1</v>
      </c>
      <c r="F104" s="80" t="s">
        <v>2</v>
      </c>
      <c r="G104" s="80" t="s">
        <v>3</v>
      </c>
      <c r="H104" s="80" t="s">
        <v>4</v>
      </c>
      <c r="I104" s="80" t="s">
        <v>5</v>
      </c>
      <c r="J104" s="80" t="s">
        <v>6</v>
      </c>
      <c r="K104" s="80" t="s">
        <v>7</v>
      </c>
      <c r="L104" s="80" t="s">
        <v>8</v>
      </c>
      <c r="M104" s="80" t="s">
        <v>240</v>
      </c>
      <c r="N104" s="80" t="s">
        <v>241</v>
      </c>
      <c r="O104" s="80" t="s">
        <v>242</v>
      </c>
      <c r="P104" s="993" t="s">
        <v>164</v>
      </c>
      <c r="Q104" s="994"/>
    </row>
    <row r="105" spans="1:17">
      <c r="A105" s="76"/>
      <c r="B105" s="77" t="s">
        <v>62</v>
      </c>
      <c r="C105" s="598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1149"/>
      <c r="Q105" s="1150"/>
    </row>
    <row r="106" spans="1:17" ht="15.75">
      <c r="A106" s="68"/>
      <c r="B106" s="65"/>
      <c r="C106" s="70" t="s">
        <v>229</v>
      </c>
      <c r="D106" s="599">
        <f>4000000/360</f>
        <v>11111.111111111111</v>
      </c>
      <c r="E106" s="599">
        <f t="shared" ref="E106:O106" si="22">4000000/360</f>
        <v>11111.111111111111</v>
      </c>
      <c r="F106" s="599">
        <f t="shared" si="22"/>
        <v>11111.111111111111</v>
      </c>
      <c r="G106" s="599">
        <f t="shared" si="22"/>
        <v>11111.111111111111</v>
      </c>
      <c r="H106" s="599">
        <f t="shared" si="22"/>
        <v>11111.111111111111</v>
      </c>
      <c r="I106" s="599">
        <f t="shared" si="22"/>
        <v>11111.111111111111</v>
      </c>
      <c r="J106" s="599">
        <f t="shared" si="22"/>
        <v>11111.111111111111</v>
      </c>
      <c r="K106" s="599">
        <f t="shared" si="22"/>
        <v>11111.111111111111</v>
      </c>
      <c r="L106" s="599">
        <f t="shared" si="22"/>
        <v>11111.111111111111</v>
      </c>
      <c r="M106" s="599">
        <f t="shared" si="22"/>
        <v>11111.111111111111</v>
      </c>
      <c r="N106" s="599">
        <f t="shared" si="22"/>
        <v>11111.111111111111</v>
      </c>
      <c r="O106" s="599">
        <f t="shared" si="22"/>
        <v>11111.111111111111</v>
      </c>
      <c r="P106" s="1043" t="s">
        <v>551</v>
      </c>
      <c r="Q106" s="1044"/>
    </row>
    <row r="107" spans="1:17" ht="14.25" customHeight="1">
      <c r="A107" s="68"/>
      <c r="B107" s="69" t="s">
        <v>172</v>
      </c>
      <c r="C107" s="70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1092"/>
      <c r="Q107" s="1093"/>
    </row>
    <row r="108" spans="1:17" ht="33.75" customHeight="1">
      <c r="A108" s="68"/>
      <c r="B108" s="65"/>
      <c r="C108" s="70" t="s">
        <v>230</v>
      </c>
      <c r="D108" s="599">
        <f>[1]Intervento!$E$39</f>
        <v>6776.4768414589134</v>
      </c>
      <c r="E108" s="599">
        <f>[1]Intervento!$E$39</f>
        <v>6776.4768414589134</v>
      </c>
      <c r="F108" s="599">
        <f>[1]Intervento!$E$39</f>
        <v>6776.4768414589134</v>
      </c>
      <c r="G108" s="599">
        <f>[1]Intervento!$E$39</f>
        <v>6776.4768414589134</v>
      </c>
      <c r="H108" s="599">
        <f>[1]Intervento!$E$39</f>
        <v>6776.4768414589134</v>
      </c>
      <c r="I108" s="599">
        <f>[1]Intervento!$E$39</f>
        <v>6776.4768414589134</v>
      </c>
      <c r="J108" s="599">
        <f>[1]Intervento!$E$39</f>
        <v>6776.4768414589134</v>
      </c>
      <c r="K108" s="599">
        <f>[1]Intervento!$E$39</f>
        <v>6776.4768414589134</v>
      </c>
      <c r="L108" s="599">
        <f>[1]Intervento!$E$39</f>
        <v>6776.4768414589134</v>
      </c>
      <c r="M108" s="599">
        <f>[1]Intervento!$E$39</f>
        <v>6776.4768414589134</v>
      </c>
      <c r="N108" s="599">
        <f>[1]Intervento!$E$39</f>
        <v>6776.4768414589134</v>
      </c>
      <c r="O108" s="599">
        <f>[1]Intervento!$E$39</f>
        <v>6776.4768414589134</v>
      </c>
      <c r="P108" s="972" t="s">
        <v>550</v>
      </c>
      <c r="Q108" s="973"/>
    </row>
    <row r="109" spans="1:17" ht="25.5" customHeight="1">
      <c r="A109" s="71"/>
      <c r="B109" s="72"/>
      <c r="C109" s="73" t="s">
        <v>231</v>
      </c>
      <c r="D109" s="600">
        <v>4611.1111111111113</v>
      </c>
      <c r="E109" s="66">
        <v>4611.1111111111113</v>
      </c>
      <c r="F109" s="66">
        <v>4611.1111111111113</v>
      </c>
      <c r="G109" s="66">
        <v>4611.1111111111113</v>
      </c>
      <c r="H109" s="66">
        <v>4611.1111111111113</v>
      </c>
      <c r="I109" s="66">
        <v>4611.1111111111113</v>
      </c>
      <c r="J109" s="66">
        <v>4611.1111111111113</v>
      </c>
      <c r="K109" s="66">
        <v>4611.1111111111113</v>
      </c>
      <c r="L109" s="66">
        <v>4611.1111111111113</v>
      </c>
      <c r="M109" s="66">
        <v>4611.1111111111113</v>
      </c>
      <c r="N109" s="66">
        <v>4611.1111111111113</v>
      </c>
      <c r="O109" s="66">
        <v>4611.1111111111113</v>
      </c>
      <c r="P109" s="972" t="s">
        <v>232</v>
      </c>
      <c r="Q109" s="973"/>
    </row>
    <row r="110" spans="1:17" ht="30.75" customHeight="1">
      <c r="A110" s="68"/>
      <c r="B110" s="65"/>
      <c r="C110" s="74" t="s">
        <v>233</v>
      </c>
      <c r="D110" s="599">
        <f>5000000/360</f>
        <v>13888.888888888889</v>
      </c>
      <c r="E110" s="64">
        <f t="shared" ref="E110:O110" si="23">5000000/360</f>
        <v>13888.888888888889</v>
      </c>
      <c r="F110" s="64">
        <f t="shared" si="23"/>
        <v>13888.888888888889</v>
      </c>
      <c r="G110" s="64">
        <f t="shared" si="23"/>
        <v>13888.888888888889</v>
      </c>
      <c r="H110" s="64">
        <f t="shared" si="23"/>
        <v>13888.888888888889</v>
      </c>
      <c r="I110" s="64">
        <f t="shared" si="23"/>
        <v>13888.888888888889</v>
      </c>
      <c r="J110" s="64">
        <f t="shared" si="23"/>
        <v>13888.888888888889</v>
      </c>
      <c r="K110" s="64">
        <f t="shared" si="23"/>
        <v>13888.888888888889</v>
      </c>
      <c r="L110" s="64">
        <f t="shared" si="23"/>
        <v>13888.888888888889</v>
      </c>
      <c r="M110" s="64">
        <f t="shared" si="23"/>
        <v>13888.888888888889</v>
      </c>
      <c r="N110" s="64">
        <f t="shared" si="23"/>
        <v>13888.888888888889</v>
      </c>
      <c r="O110" s="64">
        <f t="shared" si="23"/>
        <v>13888.888888888889</v>
      </c>
      <c r="P110" s="972" t="s">
        <v>234</v>
      </c>
      <c r="Q110" s="973"/>
    </row>
    <row r="111" spans="1:17">
      <c r="A111" s="68"/>
      <c r="B111" s="69" t="s">
        <v>57</v>
      </c>
      <c r="C111" s="70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1038"/>
      <c r="Q111" s="1039"/>
    </row>
    <row r="112" spans="1:17" ht="25.5" customHeight="1">
      <c r="A112" s="75"/>
      <c r="B112" s="65"/>
      <c r="C112" s="74" t="s">
        <v>227</v>
      </c>
      <c r="D112" s="599">
        <f>'02-HH-2014'!$C$10</f>
        <v>265686.27339793002</v>
      </c>
      <c r="E112" s="599">
        <f>'02-HH-2014'!$C$10</f>
        <v>265686.27339793002</v>
      </c>
      <c r="F112" s="599">
        <f>'02-HH-2014'!$C$10</f>
        <v>265686.27339793002</v>
      </c>
      <c r="G112" s="599">
        <f>'02-HH-2014'!$C$10</f>
        <v>265686.27339793002</v>
      </c>
      <c r="H112" s="599">
        <f>'02-HH-2014'!$C$10</f>
        <v>265686.27339793002</v>
      </c>
      <c r="I112" s="599">
        <f>'02-HH-2014'!$C$10</f>
        <v>265686.27339793002</v>
      </c>
      <c r="J112" s="599">
        <f>'02-HH-2014'!$C$10</f>
        <v>265686.27339793002</v>
      </c>
      <c r="K112" s="599">
        <f>'02-HH-2014'!$C$10</f>
        <v>265686.27339793002</v>
      </c>
      <c r="L112" s="599">
        <f>'02-HH-2014'!$C$10</f>
        <v>265686.27339793002</v>
      </c>
      <c r="M112" s="599">
        <f>'02-HH-2014'!$C$10</f>
        <v>265686.27339793002</v>
      </c>
      <c r="N112" s="599">
        <f>'02-HH-2014'!$C$10</f>
        <v>265686.27339793002</v>
      </c>
      <c r="O112" s="599">
        <f>'02-HH-2014'!$C$10</f>
        <v>265686.27339793002</v>
      </c>
      <c r="P112" s="972" t="s">
        <v>235</v>
      </c>
      <c r="Q112" s="973"/>
    </row>
    <row r="113" spans="1:17" ht="4.5" customHeight="1">
      <c r="A113" s="62"/>
      <c r="B113" s="5"/>
      <c r="C113" s="33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899"/>
      <c r="Q113" s="1042"/>
    </row>
    <row r="114" spans="1:17" ht="27.75" customHeight="1" thickBot="1">
      <c r="A114" s="939" t="s">
        <v>236</v>
      </c>
      <c r="B114" s="940"/>
      <c r="C114" s="940"/>
      <c r="D114" s="435">
        <f t="shared" ref="D114:O114" si="24">SUM(D106:D112)</f>
        <v>302073.86135050002</v>
      </c>
      <c r="E114" s="67">
        <f t="shared" si="24"/>
        <v>302073.86135050002</v>
      </c>
      <c r="F114" s="67">
        <f t="shared" si="24"/>
        <v>302073.86135050002</v>
      </c>
      <c r="G114" s="67">
        <f t="shared" si="24"/>
        <v>302073.86135050002</v>
      </c>
      <c r="H114" s="67">
        <f t="shared" si="24"/>
        <v>302073.86135050002</v>
      </c>
      <c r="I114" s="67">
        <f t="shared" si="24"/>
        <v>302073.86135050002</v>
      </c>
      <c r="J114" s="67">
        <f t="shared" si="24"/>
        <v>302073.86135050002</v>
      </c>
      <c r="K114" s="67">
        <f t="shared" si="24"/>
        <v>302073.86135050002</v>
      </c>
      <c r="L114" s="67">
        <f t="shared" si="24"/>
        <v>302073.86135050002</v>
      </c>
      <c r="M114" s="67">
        <f t="shared" si="24"/>
        <v>302073.86135050002</v>
      </c>
      <c r="N114" s="67">
        <f t="shared" si="24"/>
        <v>302073.86135050002</v>
      </c>
      <c r="O114" s="67">
        <f t="shared" si="24"/>
        <v>302073.86135050002</v>
      </c>
      <c r="P114" s="1108"/>
      <c r="Q114" s="1109"/>
    </row>
    <row r="116" spans="1:17" ht="15.75" thickBot="1"/>
    <row r="117" spans="1:17" ht="15" customHeight="1">
      <c r="A117" s="941" t="s">
        <v>36</v>
      </c>
      <c r="B117" s="930"/>
      <c r="C117" s="930"/>
      <c r="D117" s="930"/>
      <c r="E117" s="930"/>
      <c r="F117" s="930"/>
      <c r="G117" s="930"/>
      <c r="H117" s="930"/>
      <c r="I117" s="930"/>
      <c r="J117" s="930"/>
      <c r="K117" s="930"/>
      <c r="L117" s="930"/>
      <c r="M117" s="930"/>
      <c r="N117" s="930"/>
      <c r="O117" s="930"/>
      <c r="P117" s="930"/>
      <c r="Q117" s="942"/>
    </row>
    <row r="118" spans="1:17" ht="15.75" customHeight="1">
      <c r="A118" s="943"/>
      <c r="B118" s="944"/>
      <c r="C118" s="944"/>
      <c r="D118" s="944"/>
      <c r="E118" s="944"/>
      <c r="F118" s="944"/>
      <c r="G118" s="944"/>
      <c r="H118" s="944"/>
      <c r="I118" s="944"/>
      <c r="J118" s="944"/>
      <c r="K118" s="944"/>
      <c r="L118" s="944"/>
      <c r="M118" s="944"/>
      <c r="N118" s="944"/>
      <c r="O118" s="944"/>
      <c r="P118" s="944"/>
      <c r="Q118" s="945"/>
    </row>
    <row r="119" spans="1:17" ht="15.75" thickBot="1">
      <c r="A119" s="991" t="s">
        <v>31</v>
      </c>
      <c r="B119" s="992"/>
      <c r="C119" s="992"/>
      <c r="D119" s="604" t="s">
        <v>0</v>
      </c>
      <c r="E119" s="80" t="s">
        <v>1</v>
      </c>
      <c r="F119" s="80" t="s">
        <v>2</v>
      </c>
      <c r="G119" s="80" t="s">
        <v>3</v>
      </c>
      <c r="H119" s="80" t="s">
        <v>4</v>
      </c>
      <c r="I119" s="80" t="s">
        <v>5</v>
      </c>
      <c r="J119" s="80" t="s">
        <v>6</v>
      </c>
      <c r="K119" s="80" t="s">
        <v>7</v>
      </c>
      <c r="L119" s="80" t="s">
        <v>8</v>
      </c>
      <c r="M119" s="80" t="s">
        <v>240</v>
      </c>
      <c r="N119" s="80" t="s">
        <v>241</v>
      </c>
      <c r="O119" s="80" t="s">
        <v>242</v>
      </c>
      <c r="P119" s="920" t="s">
        <v>164</v>
      </c>
      <c r="Q119" s="995"/>
    </row>
    <row r="120" spans="1:17">
      <c r="A120" s="76"/>
      <c r="B120" s="77" t="s">
        <v>62</v>
      </c>
      <c r="C120" s="59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1092"/>
      <c r="Q120" s="1093"/>
    </row>
    <row r="121" spans="1:17" ht="15.75">
      <c r="A121" s="68"/>
      <c r="B121" s="65"/>
      <c r="C121" s="70" t="s">
        <v>229</v>
      </c>
      <c r="D121" s="599">
        <f>4000000/360</f>
        <v>11111.111111111111</v>
      </c>
      <c r="E121" s="599">
        <f t="shared" ref="E121:O121" si="25">4000000/360</f>
        <v>11111.111111111111</v>
      </c>
      <c r="F121" s="599">
        <f t="shared" si="25"/>
        <v>11111.111111111111</v>
      </c>
      <c r="G121" s="599">
        <f t="shared" si="25"/>
        <v>11111.111111111111</v>
      </c>
      <c r="H121" s="599">
        <f t="shared" si="25"/>
        <v>11111.111111111111</v>
      </c>
      <c r="I121" s="599">
        <f t="shared" si="25"/>
        <v>11111.111111111111</v>
      </c>
      <c r="J121" s="599">
        <f t="shared" si="25"/>
        <v>11111.111111111111</v>
      </c>
      <c r="K121" s="599">
        <f t="shared" si="25"/>
        <v>11111.111111111111</v>
      </c>
      <c r="L121" s="599">
        <f t="shared" si="25"/>
        <v>11111.111111111111</v>
      </c>
      <c r="M121" s="599">
        <f t="shared" si="25"/>
        <v>11111.111111111111</v>
      </c>
      <c r="N121" s="599">
        <f t="shared" si="25"/>
        <v>11111.111111111111</v>
      </c>
      <c r="O121" s="599">
        <f t="shared" si="25"/>
        <v>11111.111111111111</v>
      </c>
      <c r="P121" s="1043" t="s">
        <v>551</v>
      </c>
      <c r="Q121" s="1044"/>
    </row>
    <row r="122" spans="1:17">
      <c r="A122" s="68"/>
      <c r="B122" s="69" t="s">
        <v>172</v>
      </c>
      <c r="C122" s="70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1088"/>
      <c r="Q122" s="1089"/>
    </row>
    <row r="123" spans="1:17" ht="24.75" customHeight="1">
      <c r="A123" s="68"/>
      <c r="B123" s="65"/>
      <c r="C123" s="70" t="s">
        <v>230</v>
      </c>
      <c r="D123" s="599">
        <f>D108</f>
        <v>6776.4768414589134</v>
      </c>
      <c r="E123" s="599">
        <f t="shared" ref="E123:O123" si="26">E108</f>
        <v>6776.4768414589134</v>
      </c>
      <c r="F123" s="599">
        <f t="shared" si="26"/>
        <v>6776.4768414589134</v>
      </c>
      <c r="G123" s="599">
        <f t="shared" si="26"/>
        <v>6776.4768414589134</v>
      </c>
      <c r="H123" s="599">
        <f t="shared" si="26"/>
        <v>6776.4768414589134</v>
      </c>
      <c r="I123" s="599">
        <f t="shared" si="26"/>
        <v>6776.4768414589134</v>
      </c>
      <c r="J123" s="599">
        <f t="shared" si="26"/>
        <v>6776.4768414589134</v>
      </c>
      <c r="K123" s="599">
        <f t="shared" si="26"/>
        <v>6776.4768414589134</v>
      </c>
      <c r="L123" s="599">
        <f t="shared" si="26"/>
        <v>6776.4768414589134</v>
      </c>
      <c r="M123" s="599">
        <f t="shared" si="26"/>
        <v>6776.4768414589134</v>
      </c>
      <c r="N123" s="599">
        <f t="shared" si="26"/>
        <v>6776.4768414589134</v>
      </c>
      <c r="O123" s="599">
        <f t="shared" si="26"/>
        <v>6776.4768414589134</v>
      </c>
      <c r="P123" s="972" t="s">
        <v>550</v>
      </c>
      <c r="Q123" s="973"/>
    </row>
    <row r="124" spans="1:17" ht="34.5" customHeight="1">
      <c r="A124" s="71"/>
      <c r="B124" s="72"/>
      <c r="C124" s="73" t="s">
        <v>231</v>
      </c>
      <c r="D124" s="600">
        <v>4611.1111111111113</v>
      </c>
      <c r="E124" s="66">
        <v>4611.1111111111113</v>
      </c>
      <c r="F124" s="66">
        <v>4611.1111111111113</v>
      </c>
      <c r="G124" s="66">
        <v>4611.1111111111113</v>
      </c>
      <c r="H124" s="66">
        <v>4611.1111111111113</v>
      </c>
      <c r="I124" s="66">
        <v>4611.1111111111113</v>
      </c>
      <c r="J124" s="66">
        <v>4611.1111111111113</v>
      </c>
      <c r="K124" s="66">
        <v>4611.1111111111113</v>
      </c>
      <c r="L124" s="66">
        <v>4611.1111111111113</v>
      </c>
      <c r="M124" s="66">
        <v>4611.1111111111113</v>
      </c>
      <c r="N124" s="66">
        <v>4611.1111111111113</v>
      </c>
      <c r="O124" s="66">
        <v>4611.1111111111113</v>
      </c>
      <c r="P124" s="972" t="s">
        <v>232</v>
      </c>
      <c r="Q124" s="973"/>
    </row>
    <row r="125" spans="1:17" ht="36" customHeight="1">
      <c r="A125" s="68"/>
      <c r="B125" s="65"/>
      <c r="C125" s="74" t="s">
        <v>233</v>
      </c>
      <c r="D125" s="599">
        <f>5000000/360</f>
        <v>13888.888888888889</v>
      </c>
      <c r="E125" s="64">
        <f t="shared" ref="E125:O125" si="27">5000000/360</f>
        <v>13888.888888888889</v>
      </c>
      <c r="F125" s="64">
        <f t="shared" si="27"/>
        <v>13888.888888888889</v>
      </c>
      <c r="G125" s="64">
        <f t="shared" si="27"/>
        <v>13888.888888888889</v>
      </c>
      <c r="H125" s="64">
        <f t="shared" si="27"/>
        <v>13888.888888888889</v>
      </c>
      <c r="I125" s="64">
        <f t="shared" si="27"/>
        <v>13888.888888888889</v>
      </c>
      <c r="J125" s="64">
        <f t="shared" si="27"/>
        <v>13888.888888888889</v>
      </c>
      <c r="K125" s="64">
        <f t="shared" si="27"/>
        <v>13888.888888888889</v>
      </c>
      <c r="L125" s="64">
        <f t="shared" si="27"/>
        <v>13888.888888888889</v>
      </c>
      <c r="M125" s="64">
        <f t="shared" si="27"/>
        <v>13888.888888888889</v>
      </c>
      <c r="N125" s="64">
        <f t="shared" si="27"/>
        <v>13888.888888888889</v>
      </c>
      <c r="O125" s="64">
        <f t="shared" si="27"/>
        <v>13888.888888888889</v>
      </c>
      <c r="P125" s="972" t="s">
        <v>234</v>
      </c>
      <c r="Q125" s="973"/>
    </row>
    <row r="126" spans="1:17">
      <c r="A126" s="68"/>
      <c r="B126" s="69" t="s">
        <v>57</v>
      </c>
      <c r="C126" s="70"/>
      <c r="D126" s="65"/>
      <c r="E126" s="65"/>
      <c r="F126" s="65"/>
      <c r="G126" s="65"/>
      <c r="H126" s="65"/>
      <c r="I126" s="65"/>
      <c r="J126" s="65"/>
      <c r="K126" s="65"/>
      <c r="L126" s="65"/>
      <c r="M126" s="5"/>
      <c r="N126" s="5"/>
      <c r="O126" s="5"/>
      <c r="P126" s="1088"/>
      <c r="Q126" s="1089"/>
    </row>
    <row r="127" spans="1:17" ht="38.25" customHeight="1">
      <c r="A127" s="75"/>
      <c r="B127" s="65"/>
      <c r="C127" s="74" t="s">
        <v>227</v>
      </c>
      <c r="D127" s="599">
        <f>'02-HH-2014'!$C$10</f>
        <v>265686.27339793002</v>
      </c>
      <c r="E127" s="599">
        <f>'02-HH-2014'!$C$10</f>
        <v>265686.27339793002</v>
      </c>
      <c r="F127" s="599">
        <f>'02-HH-2014'!$C$10</f>
        <v>265686.27339793002</v>
      </c>
      <c r="G127" s="599">
        <f>'02-HH-2014'!$C$10</f>
        <v>265686.27339793002</v>
      </c>
      <c r="H127" s="599">
        <f>'02-HH-2014'!$C$10</f>
        <v>265686.27339793002</v>
      </c>
      <c r="I127" s="599">
        <f>'02-HH-2014'!$C$10</f>
        <v>265686.27339793002</v>
      </c>
      <c r="J127" s="599">
        <f>'02-HH-2014'!$C$10</f>
        <v>265686.27339793002</v>
      </c>
      <c r="K127" s="599">
        <f>'02-HH-2014'!$C$10</f>
        <v>265686.27339793002</v>
      </c>
      <c r="L127" s="599">
        <f>'02-HH-2014'!$C$10</f>
        <v>265686.27339793002</v>
      </c>
      <c r="M127" s="599">
        <f>'02-HH-2014'!$C$10</f>
        <v>265686.27339793002</v>
      </c>
      <c r="N127" s="599">
        <f>'02-HH-2014'!$C$10</f>
        <v>265686.27339793002</v>
      </c>
      <c r="O127" s="599">
        <f>'02-HH-2014'!$C$10</f>
        <v>265686.27339793002</v>
      </c>
      <c r="P127" s="972" t="s">
        <v>238</v>
      </c>
      <c r="Q127" s="973"/>
    </row>
    <row r="128" spans="1:17" ht="6.75" customHeight="1">
      <c r="A128" s="62"/>
      <c r="B128" s="5"/>
      <c r="C128" s="33"/>
      <c r="D128" s="5"/>
      <c r="E128" s="5"/>
      <c r="F128" s="5"/>
      <c r="G128" s="5"/>
      <c r="H128" s="5"/>
      <c r="I128" s="5"/>
      <c r="J128" s="5"/>
      <c r="K128" s="5"/>
      <c r="L128" s="5"/>
      <c r="M128" s="63"/>
      <c r="N128" s="5"/>
      <c r="O128" s="5"/>
      <c r="P128" s="5"/>
      <c r="Q128" s="63"/>
    </row>
    <row r="129" spans="1:17" ht="32.25" customHeight="1" thickBot="1">
      <c r="A129" s="939" t="s">
        <v>239</v>
      </c>
      <c r="B129" s="940"/>
      <c r="C129" s="940"/>
      <c r="D129" s="435">
        <f>SUM(D127:D128)</f>
        <v>265686.27339793002</v>
      </c>
      <c r="E129" s="435">
        <f t="shared" ref="E129:O129" si="28">SUM(E127:E128)</f>
        <v>265686.27339793002</v>
      </c>
      <c r="F129" s="435">
        <f t="shared" si="28"/>
        <v>265686.27339793002</v>
      </c>
      <c r="G129" s="435">
        <f t="shared" si="28"/>
        <v>265686.27339793002</v>
      </c>
      <c r="H129" s="435">
        <f t="shared" si="28"/>
        <v>265686.27339793002</v>
      </c>
      <c r="I129" s="435">
        <f t="shared" si="28"/>
        <v>265686.27339793002</v>
      </c>
      <c r="J129" s="435">
        <f t="shared" si="28"/>
        <v>265686.27339793002</v>
      </c>
      <c r="K129" s="435">
        <f t="shared" si="28"/>
        <v>265686.27339793002</v>
      </c>
      <c r="L129" s="435">
        <f t="shared" si="28"/>
        <v>265686.27339793002</v>
      </c>
      <c r="M129" s="435">
        <f t="shared" si="28"/>
        <v>265686.27339793002</v>
      </c>
      <c r="N129" s="435">
        <f t="shared" si="28"/>
        <v>265686.27339793002</v>
      </c>
      <c r="O129" s="435">
        <f t="shared" si="28"/>
        <v>265686.27339793002</v>
      </c>
      <c r="P129" s="974"/>
      <c r="Q129" s="975"/>
    </row>
    <row r="131" spans="1:17" ht="15.75" thickBot="1"/>
    <row r="132" spans="1:17" ht="15" customHeight="1">
      <c r="A132" s="941" t="s">
        <v>38</v>
      </c>
      <c r="B132" s="930"/>
      <c r="C132" s="930"/>
      <c r="D132" s="930"/>
      <c r="E132" s="930"/>
      <c r="F132" s="930"/>
      <c r="G132" s="930"/>
      <c r="H132" s="930"/>
      <c r="I132" s="930"/>
      <c r="J132" s="930"/>
      <c r="K132" s="930"/>
      <c r="L132" s="930"/>
      <c r="M132" s="930"/>
      <c r="N132" s="930"/>
      <c r="O132" s="930"/>
      <c r="P132" s="930"/>
      <c r="Q132" s="942"/>
    </row>
    <row r="133" spans="1:17" ht="15" customHeight="1">
      <c r="A133" s="943"/>
      <c r="B133" s="944"/>
      <c r="C133" s="944"/>
      <c r="D133" s="944"/>
      <c r="E133" s="944"/>
      <c r="F133" s="944"/>
      <c r="G133" s="944"/>
      <c r="H133" s="944"/>
      <c r="I133" s="944"/>
      <c r="J133" s="944"/>
      <c r="K133" s="944"/>
      <c r="L133" s="944"/>
      <c r="M133" s="944"/>
      <c r="N133" s="944"/>
      <c r="O133" s="944"/>
      <c r="P133" s="944"/>
      <c r="Q133" s="945"/>
    </row>
    <row r="134" spans="1:17" ht="20.25" customHeight="1" thickBot="1">
      <c r="A134" s="991" t="s">
        <v>31</v>
      </c>
      <c r="B134" s="992"/>
      <c r="C134" s="992"/>
      <c r="D134" s="604" t="s">
        <v>0</v>
      </c>
      <c r="E134" s="80" t="s">
        <v>1</v>
      </c>
      <c r="F134" s="80" t="s">
        <v>2</v>
      </c>
      <c r="G134" s="80" t="s">
        <v>3</v>
      </c>
      <c r="H134" s="80" t="s">
        <v>4</v>
      </c>
      <c r="I134" s="80" t="s">
        <v>5</v>
      </c>
      <c r="J134" s="80" t="s">
        <v>6</v>
      </c>
      <c r="K134" s="80" t="s">
        <v>7</v>
      </c>
      <c r="L134" s="80" t="s">
        <v>8</v>
      </c>
      <c r="M134" s="80" t="s">
        <v>240</v>
      </c>
      <c r="N134" s="80" t="s">
        <v>241</v>
      </c>
      <c r="O134" s="122" t="s">
        <v>242</v>
      </c>
      <c r="P134" s="1113" t="s">
        <v>164</v>
      </c>
      <c r="Q134" s="1114"/>
    </row>
    <row r="135" spans="1:17" ht="15.75" customHeight="1">
      <c r="A135" s="76"/>
      <c r="B135" s="77" t="s">
        <v>62</v>
      </c>
      <c r="C135" s="59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1092"/>
      <c r="Q135" s="1093"/>
    </row>
    <row r="136" spans="1:17" ht="15.75" customHeight="1">
      <c r="A136" s="68"/>
      <c r="B136" s="65"/>
      <c r="C136" s="70" t="s">
        <v>229</v>
      </c>
      <c r="D136" s="599">
        <f>D121</f>
        <v>11111.111111111111</v>
      </c>
      <c r="E136" s="599">
        <f t="shared" ref="E136:O136" si="29">E121</f>
        <v>11111.111111111111</v>
      </c>
      <c r="F136" s="599">
        <f t="shared" si="29"/>
        <v>11111.111111111111</v>
      </c>
      <c r="G136" s="599">
        <f t="shared" si="29"/>
        <v>11111.111111111111</v>
      </c>
      <c r="H136" s="599">
        <f t="shared" si="29"/>
        <v>11111.111111111111</v>
      </c>
      <c r="I136" s="599">
        <f t="shared" si="29"/>
        <v>11111.111111111111</v>
      </c>
      <c r="J136" s="599">
        <f t="shared" si="29"/>
        <v>11111.111111111111</v>
      </c>
      <c r="K136" s="599">
        <f t="shared" si="29"/>
        <v>11111.111111111111</v>
      </c>
      <c r="L136" s="599">
        <f t="shared" si="29"/>
        <v>11111.111111111111</v>
      </c>
      <c r="M136" s="599">
        <f t="shared" si="29"/>
        <v>11111.111111111111</v>
      </c>
      <c r="N136" s="599">
        <f t="shared" si="29"/>
        <v>11111.111111111111</v>
      </c>
      <c r="O136" s="599">
        <f t="shared" si="29"/>
        <v>11111.111111111111</v>
      </c>
      <c r="P136" s="1043" t="s">
        <v>551</v>
      </c>
      <c r="Q136" s="1044"/>
    </row>
    <row r="137" spans="1:17" ht="15.75" customHeight="1">
      <c r="A137" s="68"/>
      <c r="B137" s="69" t="s">
        <v>172</v>
      </c>
      <c r="C137" s="70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1088"/>
      <c r="Q137" s="1089"/>
    </row>
    <row r="138" spans="1:17" ht="28.5" customHeight="1">
      <c r="A138" s="68"/>
      <c r="B138" s="65"/>
      <c r="C138" s="70" t="s">
        <v>230</v>
      </c>
      <c r="D138" s="599">
        <f>D123</f>
        <v>6776.4768414589134</v>
      </c>
      <c r="E138" s="599">
        <f t="shared" ref="E138:O138" si="30">E123</f>
        <v>6776.4768414589134</v>
      </c>
      <c r="F138" s="599">
        <f t="shared" si="30"/>
        <v>6776.4768414589134</v>
      </c>
      <c r="G138" s="599">
        <f t="shared" si="30"/>
        <v>6776.4768414589134</v>
      </c>
      <c r="H138" s="599">
        <f t="shared" si="30"/>
        <v>6776.4768414589134</v>
      </c>
      <c r="I138" s="599">
        <f t="shared" si="30"/>
        <v>6776.4768414589134</v>
      </c>
      <c r="J138" s="599">
        <f t="shared" si="30"/>
        <v>6776.4768414589134</v>
      </c>
      <c r="K138" s="599">
        <f t="shared" si="30"/>
        <v>6776.4768414589134</v>
      </c>
      <c r="L138" s="599">
        <f t="shared" si="30"/>
        <v>6776.4768414589134</v>
      </c>
      <c r="M138" s="599">
        <f t="shared" si="30"/>
        <v>6776.4768414589134</v>
      </c>
      <c r="N138" s="599">
        <f t="shared" si="30"/>
        <v>6776.4768414589134</v>
      </c>
      <c r="O138" s="599">
        <f t="shared" si="30"/>
        <v>6776.4768414589134</v>
      </c>
      <c r="P138" s="972" t="s">
        <v>550</v>
      </c>
      <c r="Q138" s="973"/>
    </row>
    <row r="139" spans="1:17" ht="27.75" customHeight="1">
      <c r="A139" s="71"/>
      <c r="B139" s="72"/>
      <c r="C139" s="73" t="s">
        <v>231</v>
      </c>
      <c r="D139" s="600">
        <v>4611.1111111111113</v>
      </c>
      <c r="E139" s="66">
        <v>4611.1111111111113</v>
      </c>
      <c r="F139" s="66">
        <v>4611.1111111111113</v>
      </c>
      <c r="G139" s="66">
        <v>4611.1111111111113</v>
      </c>
      <c r="H139" s="66">
        <v>4611.1111111111113</v>
      </c>
      <c r="I139" s="66">
        <v>4611.1111111111113</v>
      </c>
      <c r="J139" s="66">
        <v>4611.1111111111113</v>
      </c>
      <c r="K139" s="66">
        <v>4611.1111111111113</v>
      </c>
      <c r="L139" s="66">
        <v>4611.1111111111113</v>
      </c>
      <c r="M139" s="66">
        <v>4611.1111111111113</v>
      </c>
      <c r="N139" s="66">
        <v>4611.1111111111113</v>
      </c>
      <c r="O139" s="66">
        <v>4611.1111111111113</v>
      </c>
      <c r="P139" s="972" t="s">
        <v>232</v>
      </c>
      <c r="Q139" s="973"/>
    </row>
    <row r="140" spans="1:17" ht="25.5" customHeight="1">
      <c r="A140" s="68"/>
      <c r="B140" s="65"/>
      <c r="C140" s="74" t="s">
        <v>233</v>
      </c>
      <c r="D140" s="599">
        <f>8000000/360</f>
        <v>22222.222222222223</v>
      </c>
      <c r="E140" s="64">
        <f t="shared" ref="E140:O140" si="31">8000000/360</f>
        <v>22222.222222222223</v>
      </c>
      <c r="F140" s="64">
        <f t="shared" si="31"/>
        <v>22222.222222222223</v>
      </c>
      <c r="G140" s="64">
        <f t="shared" si="31"/>
        <v>22222.222222222223</v>
      </c>
      <c r="H140" s="64">
        <f t="shared" si="31"/>
        <v>22222.222222222223</v>
      </c>
      <c r="I140" s="64">
        <f t="shared" si="31"/>
        <v>22222.222222222223</v>
      </c>
      <c r="J140" s="64">
        <f t="shared" si="31"/>
        <v>22222.222222222223</v>
      </c>
      <c r="K140" s="64">
        <f t="shared" si="31"/>
        <v>22222.222222222223</v>
      </c>
      <c r="L140" s="64">
        <f t="shared" si="31"/>
        <v>22222.222222222223</v>
      </c>
      <c r="M140" s="64">
        <f t="shared" si="31"/>
        <v>22222.222222222223</v>
      </c>
      <c r="N140" s="64">
        <f t="shared" si="31"/>
        <v>22222.222222222223</v>
      </c>
      <c r="O140" s="64">
        <f t="shared" si="31"/>
        <v>22222.222222222223</v>
      </c>
      <c r="P140" s="972" t="s">
        <v>552</v>
      </c>
      <c r="Q140" s="973"/>
    </row>
    <row r="141" spans="1:17" ht="15.75" customHeight="1">
      <c r="A141" s="68"/>
      <c r="B141" s="69" t="s">
        <v>57</v>
      </c>
      <c r="C141" s="70"/>
      <c r="D141" s="65"/>
      <c r="E141" s="65"/>
      <c r="F141" s="65"/>
      <c r="G141" s="65"/>
      <c r="H141" s="65"/>
      <c r="I141" s="65"/>
      <c r="J141" s="65"/>
      <c r="K141" s="65"/>
      <c r="L141" s="65"/>
      <c r="M141" s="5"/>
      <c r="N141" s="5"/>
      <c r="O141" s="5"/>
      <c r="P141" s="1088"/>
      <c r="Q141" s="1089"/>
    </row>
    <row r="142" spans="1:17" ht="27.75" customHeight="1">
      <c r="A142" s="75"/>
      <c r="B142" s="65"/>
      <c r="C142" s="70" t="s">
        <v>228</v>
      </c>
      <c r="D142" s="599">
        <f>'02-HH-2014'!$C$42*3</f>
        <v>429882.25859236007</v>
      </c>
      <c r="E142" s="599">
        <f>'02-HH-2014'!$C$42*3</f>
        <v>429882.25859236007</v>
      </c>
      <c r="F142" s="599">
        <f>'02-HH-2014'!$C$42*3</f>
        <v>429882.25859236007</v>
      </c>
      <c r="G142" s="599">
        <f>'02-HH-2014'!$C$42*3</f>
        <v>429882.25859236007</v>
      </c>
      <c r="H142" s="599">
        <f>'02-HH-2014'!$C$42*3</f>
        <v>429882.25859236007</v>
      </c>
      <c r="I142" s="599">
        <f>'02-HH-2014'!$C$42*3</f>
        <v>429882.25859236007</v>
      </c>
      <c r="J142" s="599">
        <f>'02-HH-2014'!$C$42*3</f>
        <v>429882.25859236007</v>
      </c>
      <c r="K142" s="599">
        <f>'02-HH-2014'!$C$42*3</f>
        <v>429882.25859236007</v>
      </c>
      <c r="L142" s="599">
        <f>'02-HH-2014'!$C$42*3</f>
        <v>429882.25859236007</v>
      </c>
      <c r="M142" s="599">
        <f>'02-HH-2014'!$C$42*3</f>
        <v>429882.25859236007</v>
      </c>
      <c r="N142" s="599">
        <f>'02-HH-2014'!$C$42*3</f>
        <v>429882.25859236007</v>
      </c>
      <c r="O142" s="599">
        <f>'02-HH-2014'!$C$42*3</f>
        <v>429882.25859236007</v>
      </c>
      <c r="P142" s="972" t="s">
        <v>553</v>
      </c>
      <c r="Q142" s="973"/>
    </row>
    <row r="143" spans="1:17" ht="6" customHeight="1">
      <c r="A143" s="62"/>
      <c r="B143" s="5"/>
      <c r="C143" s="33"/>
      <c r="D143" s="5"/>
      <c r="E143" s="5"/>
      <c r="F143" s="5"/>
      <c r="G143" s="5"/>
      <c r="H143" s="5"/>
      <c r="I143" s="5"/>
      <c r="J143" s="5"/>
      <c r="K143" s="5"/>
      <c r="L143" s="5"/>
      <c r="M143" s="63"/>
      <c r="N143" s="5"/>
      <c r="O143" s="5"/>
      <c r="P143" s="5"/>
      <c r="Q143" s="63"/>
    </row>
    <row r="144" spans="1:17" ht="34.5" customHeight="1" thickBot="1">
      <c r="A144" s="939" t="s">
        <v>243</v>
      </c>
      <c r="B144" s="940"/>
      <c r="C144" s="940"/>
      <c r="D144" s="435">
        <f t="shared" ref="D144:O144" si="32">SUM(D136:D142)</f>
        <v>474603.17987826344</v>
      </c>
      <c r="E144" s="67">
        <f t="shared" si="32"/>
        <v>474603.17987826344</v>
      </c>
      <c r="F144" s="67">
        <f t="shared" si="32"/>
        <v>474603.17987826344</v>
      </c>
      <c r="G144" s="67">
        <f t="shared" si="32"/>
        <v>474603.17987826344</v>
      </c>
      <c r="H144" s="67">
        <f t="shared" si="32"/>
        <v>474603.17987826344</v>
      </c>
      <c r="I144" s="67">
        <f t="shared" si="32"/>
        <v>474603.17987826344</v>
      </c>
      <c r="J144" s="67">
        <f t="shared" si="32"/>
        <v>474603.17987826344</v>
      </c>
      <c r="K144" s="67">
        <f t="shared" si="32"/>
        <v>474603.17987826344</v>
      </c>
      <c r="L144" s="67">
        <f t="shared" si="32"/>
        <v>474603.17987826344</v>
      </c>
      <c r="M144" s="67">
        <f t="shared" si="32"/>
        <v>474603.17987826344</v>
      </c>
      <c r="N144" s="67">
        <f t="shared" si="32"/>
        <v>474603.17987826344</v>
      </c>
      <c r="O144" s="67">
        <f t="shared" si="32"/>
        <v>474603.17987826344</v>
      </c>
      <c r="P144" s="974"/>
      <c r="Q144" s="975"/>
    </row>
    <row r="146" spans="1:17" ht="15.75" thickBot="1"/>
    <row r="147" spans="1:17" ht="15" customHeight="1">
      <c r="A147" s="941" t="s">
        <v>78</v>
      </c>
      <c r="B147" s="930"/>
      <c r="C147" s="930"/>
      <c r="D147" s="930"/>
      <c r="E147" s="930"/>
      <c r="F147" s="930"/>
      <c r="G147" s="930"/>
      <c r="H147" s="930"/>
      <c r="I147" s="930"/>
      <c r="J147" s="930"/>
      <c r="K147" s="930"/>
      <c r="L147" s="930"/>
      <c r="M147" s="930"/>
      <c r="N147" s="930"/>
      <c r="O147" s="930"/>
      <c r="P147" s="930"/>
      <c r="Q147" s="942"/>
    </row>
    <row r="148" spans="1:17" ht="15" customHeight="1">
      <c r="A148" s="943"/>
      <c r="B148" s="944"/>
      <c r="C148" s="944"/>
      <c r="D148" s="944"/>
      <c r="E148" s="944"/>
      <c r="F148" s="944"/>
      <c r="G148" s="944"/>
      <c r="H148" s="944"/>
      <c r="I148" s="944"/>
      <c r="J148" s="944"/>
      <c r="K148" s="944"/>
      <c r="L148" s="944"/>
      <c r="M148" s="944"/>
      <c r="N148" s="944"/>
      <c r="O148" s="944"/>
      <c r="P148" s="944"/>
      <c r="Q148" s="945"/>
    </row>
    <row r="149" spans="1:17" ht="15.75" thickBot="1">
      <c r="A149" s="991" t="s">
        <v>31</v>
      </c>
      <c r="B149" s="992"/>
      <c r="C149" s="992"/>
      <c r="D149" s="80" t="s">
        <v>0</v>
      </c>
      <c r="E149" s="80" t="s">
        <v>1</v>
      </c>
      <c r="F149" s="80" t="s">
        <v>2</v>
      </c>
      <c r="G149" s="80" t="s">
        <v>3</v>
      </c>
      <c r="H149" s="80" t="s">
        <v>4</v>
      </c>
      <c r="I149" s="80" t="s">
        <v>5</v>
      </c>
      <c r="J149" s="80" t="s">
        <v>6</v>
      </c>
      <c r="K149" s="80" t="s">
        <v>7</v>
      </c>
      <c r="L149" s="80" t="s">
        <v>8</v>
      </c>
      <c r="M149" s="80" t="s">
        <v>240</v>
      </c>
      <c r="N149" s="80" t="s">
        <v>241</v>
      </c>
      <c r="O149" s="122" t="s">
        <v>242</v>
      </c>
      <c r="P149" s="992" t="s">
        <v>164</v>
      </c>
      <c r="Q149" s="1045"/>
    </row>
    <row r="150" spans="1:17">
      <c r="A150" s="601"/>
      <c r="B150" s="602" t="s">
        <v>62</v>
      </c>
      <c r="C150" s="603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1120"/>
      <c r="Q150" s="1121"/>
    </row>
    <row r="151" spans="1:17" ht="15.75">
      <c r="A151" s="68"/>
      <c r="B151" s="65"/>
      <c r="C151" s="70" t="s">
        <v>229</v>
      </c>
      <c r="D151" s="599">
        <f>D136</f>
        <v>11111.111111111111</v>
      </c>
      <c r="E151" s="599">
        <f t="shared" ref="E151:O151" si="33">E136</f>
        <v>11111.111111111111</v>
      </c>
      <c r="F151" s="599">
        <f t="shared" si="33"/>
        <v>11111.111111111111</v>
      </c>
      <c r="G151" s="599">
        <f t="shared" si="33"/>
        <v>11111.111111111111</v>
      </c>
      <c r="H151" s="599">
        <f t="shared" si="33"/>
        <v>11111.111111111111</v>
      </c>
      <c r="I151" s="599">
        <f t="shared" si="33"/>
        <v>11111.111111111111</v>
      </c>
      <c r="J151" s="599">
        <f t="shared" si="33"/>
        <v>11111.111111111111</v>
      </c>
      <c r="K151" s="599">
        <f t="shared" si="33"/>
        <v>11111.111111111111</v>
      </c>
      <c r="L151" s="599">
        <f t="shared" si="33"/>
        <v>11111.111111111111</v>
      </c>
      <c r="M151" s="599">
        <f t="shared" si="33"/>
        <v>11111.111111111111</v>
      </c>
      <c r="N151" s="599">
        <f t="shared" si="33"/>
        <v>11111.111111111111</v>
      </c>
      <c r="O151" s="599">
        <f t="shared" si="33"/>
        <v>11111.111111111111</v>
      </c>
      <c r="P151" s="1043" t="s">
        <v>551</v>
      </c>
      <c r="Q151" s="1044"/>
    </row>
    <row r="152" spans="1:17">
      <c r="A152" s="68"/>
      <c r="B152" s="69" t="s">
        <v>172</v>
      </c>
      <c r="C152" s="70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972"/>
      <c r="Q152" s="973"/>
    </row>
    <row r="153" spans="1:17" ht="30" customHeight="1">
      <c r="A153" s="68"/>
      <c r="B153" s="65"/>
      <c r="C153" s="70" t="s">
        <v>230</v>
      </c>
      <c r="D153" s="599">
        <f>D138</f>
        <v>6776.4768414589134</v>
      </c>
      <c r="E153" s="599">
        <f t="shared" ref="E153:O153" si="34">E138</f>
        <v>6776.4768414589134</v>
      </c>
      <c r="F153" s="599">
        <f t="shared" si="34"/>
        <v>6776.4768414589134</v>
      </c>
      <c r="G153" s="599">
        <f t="shared" si="34"/>
        <v>6776.4768414589134</v>
      </c>
      <c r="H153" s="599">
        <f t="shared" si="34"/>
        <v>6776.4768414589134</v>
      </c>
      <c r="I153" s="599">
        <f t="shared" si="34"/>
        <v>6776.4768414589134</v>
      </c>
      <c r="J153" s="599">
        <f t="shared" si="34"/>
        <v>6776.4768414589134</v>
      </c>
      <c r="K153" s="599">
        <f t="shared" si="34"/>
        <v>6776.4768414589134</v>
      </c>
      <c r="L153" s="599">
        <f t="shared" si="34"/>
        <v>6776.4768414589134</v>
      </c>
      <c r="M153" s="599">
        <f t="shared" si="34"/>
        <v>6776.4768414589134</v>
      </c>
      <c r="N153" s="599">
        <f t="shared" si="34"/>
        <v>6776.4768414589134</v>
      </c>
      <c r="O153" s="599">
        <f t="shared" si="34"/>
        <v>6776.4768414589134</v>
      </c>
      <c r="P153" s="972" t="s">
        <v>550</v>
      </c>
      <c r="Q153" s="973"/>
    </row>
    <row r="154" spans="1:17" ht="33.75" customHeight="1">
      <c r="A154" s="71"/>
      <c r="B154" s="72"/>
      <c r="C154" s="73" t="s">
        <v>231</v>
      </c>
      <c r="D154" s="600">
        <v>4611.1111111111113</v>
      </c>
      <c r="E154" s="66">
        <v>4611.1111111111113</v>
      </c>
      <c r="F154" s="66">
        <v>4611.1111111111113</v>
      </c>
      <c r="G154" s="66">
        <v>4611.1111111111113</v>
      </c>
      <c r="H154" s="66">
        <v>4611.1111111111113</v>
      </c>
      <c r="I154" s="66">
        <v>4611.1111111111113</v>
      </c>
      <c r="J154" s="66">
        <v>4611.1111111111113</v>
      </c>
      <c r="K154" s="66">
        <v>4611.1111111111113</v>
      </c>
      <c r="L154" s="66">
        <v>4611.1111111111113</v>
      </c>
      <c r="M154" s="66">
        <v>4611.1111111111113</v>
      </c>
      <c r="N154" s="66">
        <v>4611.1111111111113</v>
      </c>
      <c r="O154" s="124">
        <v>4611.1111111111113</v>
      </c>
      <c r="P154" s="972" t="s">
        <v>232</v>
      </c>
      <c r="Q154" s="973"/>
    </row>
    <row r="155" spans="1:17" ht="28.5" customHeight="1">
      <c r="A155" s="68"/>
      <c r="B155" s="65"/>
      <c r="C155" s="74" t="s">
        <v>233</v>
      </c>
      <c r="D155" s="599">
        <f>8000000/360</f>
        <v>22222.222222222223</v>
      </c>
      <c r="E155" s="64">
        <f t="shared" ref="E155:O155" si="35">8000000/360</f>
        <v>22222.222222222223</v>
      </c>
      <c r="F155" s="64">
        <f t="shared" si="35"/>
        <v>22222.222222222223</v>
      </c>
      <c r="G155" s="64">
        <f t="shared" si="35"/>
        <v>22222.222222222223</v>
      </c>
      <c r="H155" s="64">
        <f t="shared" si="35"/>
        <v>22222.222222222223</v>
      </c>
      <c r="I155" s="64">
        <f t="shared" si="35"/>
        <v>22222.222222222223</v>
      </c>
      <c r="J155" s="64">
        <f t="shared" si="35"/>
        <v>22222.222222222223</v>
      </c>
      <c r="K155" s="64">
        <f t="shared" si="35"/>
        <v>22222.222222222223</v>
      </c>
      <c r="L155" s="64">
        <f t="shared" si="35"/>
        <v>22222.222222222223</v>
      </c>
      <c r="M155" s="64">
        <f t="shared" si="35"/>
        <v>22222.222222222223</v>
      </c>
      <c r="N155" s="64">
        <f t="shared" si="35"/>
        <v>22222.222222222223</v>
      </c>
      <c r="O155" s="123">
        <f t="shared" si="35"/>
        <v>22222.222222222223</v>
      </c>
      <c r="P155" s="972" t="s">
        <v>234</v>
      </c>
      <c r="Q155" s="973"/>
    </row>
    <row r="156" spans="1:17" ht="20.25" customHeight="1">
      <c r="A156" s="71"/>
      <c r="B156" s="69" t="s">
        <v>57</v>
      </c>
      <c r="C156" s="70"/>
      <c r="D156" s="65"/>
      <c r="E156" s="65"/>
      <c r="F156" s="65"/>
      <c r="G156" s="65"/>
      <c r="H156" s="65"/>
      <c r="I156" s="65"/>
      <c r="J156" s="65"/>
      <c r="K156" s="65"/>
      <c r="L156" s="65"/>
      <c r="M156" s="5"/>
      <c r="N156" s="5"/>
      <c r="O156" s="5"/>
      <c r="P156" s="972"/>
      <c r="Q156" s="973"/>
    </row>
    <row r="157" spans="1:17" ht="26.25" customHeight="1">
      <c r="A157" s="75"/>
      <c r="B157" s="65"/>
      <c r="C157" s="74" t="s">
        <v>227</v>
      </c>
      <c r="D157" s="599">
        <f>'02-HH-2014'!$C$10*1</f>
        <v>265686.27339793002</v>
      </c>
      <c r="E157" s="599">
        <f>'02-HH-2014'!$C$10*1</f>
        <v>265686.27339793002</v>
      </c>
      <c r="F157" s="599">
        <f>'02-HH-2014'!$C$10*1</f>
        <v>265686.27339793002</v>
      </c>
      <c r="G157" s="599">
        <f>'02-HH-2014'!$C$10*1</f>
        <v>265686.27339793002</v>
      </c>
      <c r="H157" s="599">
        <f>'02-HH-2014'!$C$10*1</f>
        <v>265686.27339793002</v>
      </c>
      <c r="I157" s="599">
        <f>'02-HH-2014'!$C$10*1</f>
        <v>265686.27339793002</v>
      </c>
      <c r="J157" s="599">
        <f>'02-HH-2014'!$C$10*1</f>
        <v>265686.27339793002</v>
      </c>
      <c r="K157" s="599">
        <f>'02-HH-2014'!$C$10*1</f>
        <v>265686.27339793002</v>
      </c>
      <c r="L157" s="599">
        <f>'02-HH-2014'!$C$10*1</f>
        <v>265686.27339793002</v>
      </c>
      <c r="M157" s="599">
        <f>'02-HH-2014'!$C$10*1</f>
        <v>265686.27339793002</v>
      </c>
      <c r="N157" s="599">
        <f>'02-HH-2014'!$C$10*1</f>
        <v>265686.27339793002</v>
      </c>
      <c r="O157" s="599">
        <f>'02-HH-2014'!$C$10*1</f>
        <v>265686.27339793002</v>
      </c>
      <c r="P157" s="972" t="s">
        <v>592</v>
      </c>
      <c r="Q157" s="973"/>
    </row>
    <row r="158" spans="1:17" ht="18" customHeight="1">
      <c r="A158" s="75"/>
      <c r="B158" s="65"/>
      <c r="C158" s="70" t="s">
        <v>244</v>
      </c>
      <c r="D158" s="599">
        <f>'02-HH-2014'!$C$42*3</f>
        <v>429882.25859236007</v>
      </c>
      <c r="E158" s="599">
        <f>'02-HH-2014'!$C$42*3</f>
        <v>429882.25859236007</v>
      </c>
      <c r="F158" s="599">
        <f>'02-HH-2014'!$C$42*3</f>
        <v>429882.25859236007</v>
      </c>
      <c r="G158" s="599">
        <f>'02-HH-2014'!$C$42*3</f>
        <v>429882.25859236007</v>
      </c>
      <c r="H158" s="599">
        <f>'02-HH-2014'!$C$42*3</f>
        <v>429882.25859236007</v>
      </c>
      <c r="I158" s="599">
        <f>'02-HH-2014'!$C$42*3</f>
        <v>429882.25859236007</v>
      </c>
      <c r="J158" s="599">
        <f>'02-HH-2014'!$C$42*3</f>
        <v>429882.25859236007</v>
      </c>
      <c r="K158" s="599">
        <f>'02-HH-2014'!$C$42*3</f>
        <v>429882.25859236007</v>
      </c>
      <c r="L158" s="599">
        <f>'02-HH-2014'!$C$42*3</f>
        <v>429882.25859236007</v>
      </c>
      <c r="M158" s="599">
        <f>'02-HH-2014'!$C$42*3</f>
        <v>429882.25859236007</v>
      </c>
      <c r="N158" s="599">
        <f>'02-HH-2014'!$C$42*3</f>
        <v>429882.25859236007</v>
      </c>
      <c r="O158" s="599">
        <f>'02-HH-2014'!$C$42*3</f>
        <v>429882.25859236007</v>
      </c>
      <c r="P158" s="972" t="s">
        <v>591</v>
      </c>
      <c r="Q158" s="973"/>
    </row>
    <row r="159" spans="1:17" ht="4.5" customHeight="1">
      <c r="A159" s="62"/>
      <c r="B159" s="5"/>
      <c r="C159" s="33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63"/>
    </row>
    <row r="160" spans="1:17" ht="30" customHeight="1" thickBot="1">
      <c r="A160" s="939" t="s">
        <v>245</v>
      </c>
      <c r="B160" s="940"/>
      <c r="C160" s="940"/>
      <c r="D160" s="435">
        <f>SUM(D151:D158)</f>
        <v>740289.45327619347</v>
      </c>
      <c r="E160" s="67">
        <f t="shared" ref="E160:O160" si="36">SUM(E151:E158)</f>
        <v>740289.45327619347</v>
      </c>
      <c r="F160" s="67">
        <f t="shared" si="36"/>
        <v>740289.45327619347</v>
      </c>
      <c r="G160" s="67">
        <f t="shared" si="36"/>
        <v>740289.45327619347</v>
      </c>
      <c r="H160" s="67">
        <f t="shared" si="36"/>
        <v>740289.45327619347</v>
      </c>
      <c r="I160" s="67">
        <f t="shared" si="36"/>
        <v>740289.45327619347</v>
      </c>
      <c r="J160" s="67">
        <f t="shared" si="36"/>
        <v>740289.45327619347</v>
      </c>
      <c r="K160" s="67">
        <f t="shared" si="36"/>
        <v>740289.45327619347</v>
      </c>
      <c r="L160" s="67">
        <f t="shared" si="36"/>
        <v>740289.45327619347</v>
      </c>
      <c r="M160" s="67">
        <f t="shared" si="36"/>
        <v>740289.45327619347</v>
      </c>
      <c r="N160" s="67">
        <f t="shared" si="36"/>
        <v>740289.45327619347</v>
      </c>
      <c r="O160" s="67">
        <f t="shared" si="36"/>
        <v>740289.45327619347</v>
      </c>
      <c r="P160" s="974"/>
      <c r="Q160" s="975"/>
    </row>
    <row r="162" spans="1:17" ht="15.75" thickBot="1"/>
    <row r="163" spans="1:17" ht="15" customHeight="1">
      <c r="A163" s="996" t="s">
        <v>40</v>
      </c>
      <c r="B163" s="997"/>
      <c r="C163" s="997"/>
      <c r="D163" s="997"/>
      <c r="E163" s="997"/>
      <c r="F163" s="997"/>
      <c r="G163" s="997"/>
      <c r="H163" s="997"/>
      <c r="I163" s="997"/>
      <c r="J163" s="997"/>
      <c r="K163" s="997"/>
      <c r="L163" s="997"/>
      <c r="M163" s="997"/>
      <c r="N163" s="997"/>
      <c r="O163" s="997"/>
      <c r="P163" s="997"/>
      <c r="Q163" s="998"/>
    </row>
    <row r="164" spans="1:17" ht="15" customHeight="1">
      <c r="A164" s="999"/>
      <c r="B164" s="1000"/>
      <c r="C164" s="1000"/>
      <c r="D164" s="1000"/>
      <c r="E164" s="1000"/>
      <c r="F164" s="1000"/>
      <c r="G164" s="1000"/>
      <c r="H164" s="1000"/>
      <c r="I164" s="1000"/>
      <c r="J164" s="1000"/>
      <c r="K164" s="1000"/>
      <c r="L164" s="1000"/>
      <c r="M164" s="1000"/>
      <c r="N164" s="1000"/>
      <c r="O164" s="1000"/>
      <c r="P164" s="1000"/>
      <c r="Q164" s="1001"/>
    </row>
    <row r="165" spans="1:17" ht="15.75" thickBot="1">
      <c r="A165" s="991" t="s">
        <v>31</v>
      </c>
      <c r="B165" s="992"/>
      <c r="C165" s="992"/>
      <c r="D165" s="80" t="s">
        <v>0</v>
      </c>
      <c r="E165" s="80" t="s">
        <v>1</v>
      </c>
      <c r="F165" s="80" t="s">
        <v>2</v>
      </c>
      <c r="G165" s="80" t="s">
        <v>3</v>
      </c>
      <c r="H165" s="80" t="s">
        <v>4</v>
      </c>
      <c r="I165" s="80" t="s">
        <v>5</v>
      </c>
      <c r="J165" s="80" t="s">
        <v>6</v>
      </c>
      <c r="K165" s="80" t="s">
        <v>7</v>
      </c>
      <c r="L165" s="80" t="s">
        <v>8</v>
      </c>
      <c r="M165" s="80" t="s">
        <v>240</v>
      </c>
      <c r="N165" s="80" t="s">
        <v>241</v>
      </c>
      <c r="O165" s="301" t="s">
        <v>242</v>
      </c>
      <c r="P165" s="993" t="s">
        <v>164</v>
      </c>
      <c r="Q165" s="994"/>
    </row>
    <row r="166" spans="1:17">
      <c r="A166" s="76"/>
      <c r="B166" s="77" t="s">
        <v>62</v>
      </c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1094"/>
      <c r="Q166" s="1095"/>
    </row>
    <row r="167" spans="1:17" ht="15.75" customHeight="1">
      <c r="A167" s="68"/>
      <c r="B167" s="65"/>
      <c r="C167" s="70" t="s">
        <v>229</v>
      </c>
      <c r="D167" s="64">
        <f>D151</f>
        <v>11111.111111111111</v>
      </c>
      <c r="E167" s="64">
        <f t="shared" ref="E167:O167" si="37">E151</f>
        <v>11111.111111111111</v>
      </c>
      <c r="F167" s="64">
        <f t="shared" si="37"/>
        <v>11111.111111111111</v>
      </c>
      <c r="G167" s="64">
        <f t="shared" si="37"/>
        <v>11111.111111111111</v>
      </c>
      <c r="H167" s="64">
        <f t="shared" si="37"/>
        <v>11111.111111111111</v>
      </c>
      <c r="I167" s="64">
        <f t="shared" si="37"/>
        <v>11111.111111111111</v>
      </c>
      <c r="J167" s="64">
        <f t="shared" si="37"/>
        <v>11111.111111111111</v>
      </c>
      <c r="K167" s="64">
        <f t="shared" si="37"/>
        <v>11111.111111111111</v>
      </c>
      <c r="L167" s="64">
        <f t="shared" si="37"/>
        <v>11111.111111111111</v>
      </c>
      <c r="M167" s="64">
        <f t="shared" si="37"/>
        <v>11111.111111111111</v>
      </c>
      <c r="N167" s="64">
        <f t="shared" si="37"/>
        <v>11111.111111111111</v>
      </c>
      <c r="O167" s="64">
        <f t="shared" si="37"/>
        <v>11111.111111111111</v>
      </c>
      <c r="P167" s="1043" t="s">
        <v>551</v>
      </c>
      <c r="Q167" s="1044"/>
    </row>
    <row r="168" spans="1:17">
      <c r="A168" s="68"/>
      <c r="B168" s="69" t="s">
        <v>172</v>
      </c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972"/>
      <c r="Q168" s="973"/>
    </row>
    <row r="169" spans="1:17" ht="24.75" customHeight="1">
      <c r="A169" s="68"/>
      <c r="B169" s="65"/>
      <c r="C169" s="70" t="s">
        <v>230</v>
      </c>
      <c r="D169" s="64">
        <f>D153</f>
        <v>6776.4768414589134</v>
      </c>
      <c r="E169" s="64">
        <f t="shared" ref="E169:O169" si="38">E153</f>
        <v>6776.4768414589134</v>
      </c>
      <c r="F169" s="64">
        <f t="shared" si="38"/>
        <v>6776.4768414589134</v>
      </c>
      <c r="G169" s="64">
        <f t="shared" si="38"/>
        <v>6776.4768414589134</v>
      </c>
      <c r="H169" s="64">
        <f t="shared" si="38"/>
        <v>6776.4768414589134</v>
      </c>
      <c r="I169" s="64">
        <f t="shared" si="38"/>
        <v>6776.4768414589134</v>
      </c>
      <c r="J169" s="64">
        <f t="shared" si="38"/>
        <v>6776.4768414589134</v>
      </c>
      <c r="K169" s="64">
        <f t="shared" si="38"/>
        <v>6776.4768414589134</v>
      </c>
      <c r="L169" s="64">
        <f t="shared" si="38"/>
        <v>6776.4768414589134</v>
      </c>
      <c r="M169" s="64">
        <f t="shared" si="38"/>
        <v>6776.4768414589134</v>
      </c>
      <c r="N169" s="64">
        <f t="shared" si="38"/>
        <v>6776.4768414589134</v>
      </c>
      <c r="O169" s="64">
        <f t="shared" si="38"/>
        <v>6776.4768414589134</v>
      </c>
      <c r="P169" s="972" t="s">
        <v>550</v>
      </c>
      <c r="Q169" s="973"/>
    </row>
    <row r="170" spans="1:17" ht="30.75" customHeight="1">
      <c r="A170" s="71"/>
      <c r="B170" s="72"/>
      <c r="C170" s="73" t="s">
        <v>231</v>
      </c>
      <c r="D170" s="66">
        <v>4611.1111111111113</v>
      </c>
      <c r="E170" s="66">
        <v>4611.1111111111113</v>
      </c>
      <c r="F170" s="66">
        <v>4611.1111111111113</v>
      </c>
      <c r="G170" s="66">
        <v>4611.1111111111113</v>
      </c>
      <c r="H170" s="66">
        <v>4611.1111111111113</v>
      </c>
      <c r="I170" s="66">
        <v>4611.1111111111113</v>
      </c>
      <c r="J170" s="66">
        <v>4611.1111111111113</v>
      </c>
      <c r="K170" s="66">
        <v>4611.1111111111113</v>
      </c>
      <c r="L170" s="66">
        <v>4611.1111111111113</v>
      </c>
      <c r="M170" s="66">
        <v>4611.1111111111113</v>
      </c>
      <c r="N170" s="66">
        <v>4611.1111111111113</v>
      </c>
      <c r="O170" s="124">
        <v>4611.1111111111113</v>
      </c>
      <c r="P170" s="972" t="s">
        <v>232</v>
      </c>
      <c r="Q170" s="973"/>
    </row>
    <row r="171" spans="1:17" ht="28.5" customHeight="1">
      <c r="A171" s="68"/>
      <c r="B171" s="65"/>
      <c r="C171" s="74" t="s">
        <v>233</v>
      </c>
      <c r="D171" s="64">
        <f>8000000/360</f>
        <v>22222.222222222223</v>
      </c>
      <c r="E171" s="64">
        <f t="shared" ref="E171:O171" si="39">8000000/360</f>
        <v>22222.222222222223</v>
      </c>
      <c r="F171" s="64">
        <f t="shared" si="39"/>
        <v>22222.222222222223</v>
      </c>
      <c r="G171" s="64">
        <f t="shared" si="39"/>
        <v>22222.222222222223</v>
      </c>
      <c r="H171" s="64">
        <f t="shared" si="39"/>
        <v>22222.222222222223</v>
      </c>
      <c r="I171" s="64">
        <f t="shared" si="39"/>
        <v>22222.222222222223</v>
      </c>
      <c r="J171" s="64">
        <f t="shared" si="39"/>
        <v>22222.222222222223</v>
      </c>
      <c r="K171" s="64">
        <f t="shared" si="39"/>
        <v>22222.222222222223</v>
      </c>
      <c r="L171" s="64">
        <f t="shared" si="39"/>
        <v>22222.222222222223</v>
      </c>
      <c r="M171" s="64">
        <f t="shared" si="39"/>
        <v>22222.222222222223</v>
      </c>
      <c r="N171" s="64">
        <f t="shared" si="39"/>
        <v>22222.222222222223</v>
      </c>
      <c r="O171" s="123">
        <f t="shared" si="39"/>
        <v>22222.222222222223</v>
      </c>
      <c r="P171" s="972" t="s">
        <v>234</v>
      </c>
      <c r="Q171" s="973"/>
    </row>
    <row r="172" spans="1:17">
      <c r="A172" s="68"/>
      <c r="B172" s="69" t="s">
        <v>57</v>
      </c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5"/>
      <c r="N172" s="5"/>
      <c r="O172" s="5"/>
      <c r="P172" s="1040"/>
      <c r="Q172" s="1041"/>
    </row>
    <row r="173" spans="1:17" ht="24.75" customHeight="1">
      <c r="A173" s="75"/>
      <c r="B173" s="65"/>
      <c r="C173" s="74" t="s">
        <v>227</v>
      </c>
      <c r="D173" s="64">
        <f>D157</f>
        <v>265686.27339793002</v>
      </c>
      <c r="E173" s="64">
        <f t="shared" ref="E173:O173" si="40">E157</f>
        <v>265686.27339793002</v>
      </c>
      <c r="F173" s="64">
        <f t="shared" si="40"/>
        <v>265686.27339793002</v>
      </c>
      <c r="G173" s="64">
        <f t="shared" si="40"/>
        <v>265686.27339793002</v>
      </c>
      <c r="H173" s="64">
        <f t="shared" si="40"/>
        <v>265686.27339793002</v>
      </c>
      <c r="I173" s="64">
        <f t="shared" si="40"/>
        <v>265686.27339793002</v>
      </c>
      <c r="J173" s="64">
        <f t="shared" si="40"/>
        <v>265686.27339793002</v>
      </c>
      <c r="K173" s="64">
        <f t="shared" si="40"/>
        <v>265686.27339793002</v>
      </c>
      <c r="L173" s="64">
        <f t="shared" si="40"/>
        <v>265686.27339793002</v>
      </c>
      <c r="M173" s="64">
        <f t="shared" si="40"/>
        <v>265686.27339793002</v>
      </c>
      <c r="N173" s="64">
        <f t="shared" si="40"/>
        <v>265686.27339793002</v>
      </c>
      <c r="O173" s="64">
        <f t="shared" si="40"/>
        <v>265686.27339793002</v>
      </c>
      <c r="P173" s="972" t="s">
        <v>592</v>
      </c>
      <c r="Q173" s="973"/>
    </row>
    <row r="174" spans="1:17" ht="27.75" customHeight="1">
      <c r="A174" s="75"/>
      <c r="B174" s="65"/>
      <c r="C174" s="70" t="s">
        <v>244</v>
      </c>
      <c r="D174" s="64">
        <f>'02-HH-2014'!$C$42*2</f>
        <v>286588.17239490669</v>
      </c>
      <c r="E174" s="64">
        <f>'02-HH-2014'!$C$42*2</f>
        <v>286588.17239490669</v>
      </c>
      <c r="F174" s="64">
        <f>'02-HH-2014'!$C$42*2</f>
        <v>286588.17239490669</v>
      </c>
      <c r="G174" s="64">
        <f>'02-HH-2014'!$C$42*2</f>
        <v>286588.17239490669</v>
      </c>
      <c r="H174" s="64">
        <f>'02-HH-2014'!$C$42*2</f>
        <v>286588.17239490669</v>
      </c>
      <c r="I174" s="64">
        <f>'02-HH-2014'!$C$42*2</f>
        <v>286588.17239490669</v>
      </c>
      <c r="J174" s="64">
        <f>'02-HH-2014'!$C$42*2</f>
        <v>286588.17239490669</v>
      </c>
      <c r="K174" s="64">
        <f>'02-HH-2014'!$C$42*2</f>
        <v>286588.17239490669</v>
      </c>
      <c r="L174" s="64">
        <f>'02-HH-2014'!$C$42*2</f>
        <v>286588.17239490669</v>
      </c>
      <c r="M174" s="64">
        <f>'02-HH-2014'!$C$42*2</f>
        <v>286588.17239490669</v>
      </c>
      <c r="N174" s="64">
        <f>'02-HH-2014'!$C$42*2</f>
        <v>286588.17239490669</v>
      </c>
      <c r="O174" s="64">
        <f>'02-HH-2014'!$C$42*2</f>
        <v>286588.17239490669</v>
      </c>
      <c r="P174" s="972" t="s">
        <v>591</v>
      </c>
      <c r="Q174" s="973"/>
    </row>
    <row r="175" spans="1:17" ht="7.5" customHeight="1">
      <c r="A175" s="6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63"/>
    </row>
    <row r="176" spans="1:17" ht="28.5" customHeight="1" thickBot="1">
      <c r="A176" s="939" t="s">
        <v>246</v>
      </c>
      <c r="B176" s="940"/>
      <c r="C176" s="940"/>
      <c r="D176" s="67">
        <f>SUM(D167:D174)</f>
        <v>596995.36707874015</v>
      </c>
      <c r="E176" s="67">
        <f t="shared" ref="E176:O176" si="41">SUM(E167:E174)</f>
        <v>596995.36707874015</v>
      </c>
      <c r="F176" s="67">
        <f t="shared" si="41"/>
        <v>596995.36707874015</v>
      </c>
      <c r="G176" s="67">
        <f t="shared" si="41"/>
        <v>596995.36707874015</v>
      </c>
      <c r="H176" s="67">
        <f t="shared" si="41"/>
        <v>596995.36707874015</v>
      </c>
      <c r="I176" s="67">
        <f t="shared" si="41"/>
        <v>596995.36707874015</v>
      </c>
      <c r="J176" s="67">
        <f t="shared" si="41"/>
        <v>596995.36707874015</v>
      </c>
      <c r="K176" s="67">
        <f t="shared" si="41"/>
        <v>596995.36707874015</v>
      </c>
      <c r="L176" s="67">
        <f t="shared" si="41"/>
        <v>596995.36707874015</v>
      </c>
      <c r="M176" s="67">
        <f t="shared" si="41"/>
        <v>596995.36707874015</v>
      </c>
      <c r="N176" s="67">
        <f t="shared" si="41"/>
        <v>596995.36707874015</v>
      </c>
      <c r="O176" s="67">
        <f t="shared" si="41"/>
        <v>596995.36707874015</v>
      </c>
      <c r="P176" s="974"/>
      <c r="Q176" s="975"/>
    </row>
    <row r="178" spans="1:17" ht="15.75" thickBot="1"/>
    <row r="179" spans="1:17" ht="15" customHeight="1">
      <c r="A179" s="996" t="s">
        <v>43</v>
      </c>
      <c r="B179" s="997"/>
      <c r="C179" s="997"/>
      <c r="D179" s="997"/>
      <c r="E179" s="997"/>
      <c r="F179" s="997"/>
      <c r="G179" s="997"/>
      <c r="H179" s="997"/>
      <c r="I179" s="997"/>
      <c r="J179" s="997"/>
      <c r="K179" s="997"/>
      <c r="L179" s="997"/>
      <c r="M179" s="997"/>
      <c r="N179" s="997"/>
      <c r="O179" s="997"/>
      <c r="P179" s="997"/>
      <c r="Q179" s="998"/>
    </row>
    <row r="180" spans="1:17" ht="15" customHeight="1">
      <c r="A180" s="999"/>
      <c r="B180" s="1000"/>
      <c r="C180" s="1000"/>
      <c r="D180" s="1000"/>
      <c r="E180" s="1000"/>
      <c r="F180" s="1000"/>
      <c r="G180" s="1000"/>
      <c r="H180" s="1000"/>
      <c r="I180" s="1000"/>
      <c r="J180" s="1000"/>
      <c r="K180" s="1000"/>
      <c r="L180" s="1000"/>
      <c r="M180" s="1000"/>
      <c r="N180" s="1000"/>
      <c r="O180" s="1000"/>
      <c r="P180" s="1000"/>
      <c r="Q180" s="1001"/>
    </row>
    <row r="181" spans="1:17" ht="21.75" customHeight="1">
      <c r="A181" s="946" t="s">
        <v>31</v>
      </c>
      <c r="B181" s="947"/>
      <c r="C181" s="947"/>
      <c r="D181" s="300" t="s">
        <v>0</v>
      </c>
      <c r="E181" s="300" t="s">
        <v>1</v>
      </c>
      <c r="F181" s="300" t="s">
        <v>2</v>
      </c>
      <c r="G181" s="300" t="s">
        <v>3</v>
      </c>
      <c r="H181" s="300" t="s">
        <v>4</v>
      </c>
      <c r="I181" s="300" t="s">
        <v>5</v>
      </c>
      <c r="J181" s="300" t="s">
        <v>6</v>
      </c>
      <c r="K181" s="300" t="s">
        <v>7</v>
      </c>
      <c r="L181" s="300" t="s">
        <v>8</v>
      </c>
      <c r="M181" s="300" t="s">
        <v>240</v>
      </c>
      <c r="N181" s="300" t="s">
        <v>241</v>
      </c>
      <c r="O181" s="300" t="s">
        <v>242</v>
      </c>
      <c r="P181" s="920" t="s">
        <v>164</v>
      </c>
      <c r="Q181" s="995"/>
    </row>
    <row r="182" spans="1:17" ht="30.75" customHeight="1">
      <c r="A182" s="126"/>
      <c r="B182" s="976" t="s">
        <v>44</v>
      </c>
      <c r="C182" s="977"/>
      <c r="D182" s="127">
        <f t="shared" ref="D182:O182" si="42">D341</f>
        <v>10776.485647706815</v>
      </c>
      <c r="E182" s="127">
        <f t="shared" si="42"/>
        <v>17771.441228654301</v>
      </c>
      <c r="F182" s="127">
        <f t="shared" si="42"/>
        <v>21263.534141852488</v>
      </c>
      <c r="G182" s="127">
        <f t="shared" si="42"/>
        <v>46495.722835789886</v>
      </c>
      <c r="H182" s="127">
        <f t="shared" si="42"/>
        <v>374270.51016025711</v>
      </c>
      <c r="I182" s="127">
        <f t="shared" si="42"/>
        <v>374270.51016025711</v>
      </c>
      <c r="J182" s="127">
        <f t="shared" si="42"/>
        <v>374270.51016025711</v>
      </c>
      <c r="K182" s="127">
        <f t="shared" si="42"/>
        <v>374270.51016025711</v>
      </c>
      <c r="L182" s="127">
        <f t="shared" si="42"/>
        <v>374270.51016025711</v>
      </c>
      <c r="M182" s="127">
        <f t="shared" si="42"/>
        <v>374270.51016025711</v>
      </c>
      <c r="N182" s="127">
        <f t="shared" si="42"/>
        <v>374270.51016025711</v>
      </c>
      <c r="O182" s="127">
        <f t="shared" si="42"/>
        <v>374270.51016025711</v>
      </c>
      <c r="P182" s="970" t="s">
        <v>346</v>
      </c>
      <c r="Q182" s="979"/>
    </row>
    <row r="183" spans="1:17" ht="32.25" customHeight="1">
      <c r="A183" s="126"/>
      <c r="B183" s="1151" t="s">
        <v>45</v>
      </c>
      <c r="C183" s="1152"/>
      <c r="D183" s="127">
        <f t="shared" ref="D183:O183" si="43">D344</f>
        <v>390403.60247782344</v>
      </c>
      <c r="E183" s="127">
        <f t="shared" si="43"/>
        <v>390403.60247782344</v>
      </c>
      <c r="F183" s="127">
        <f t="shared" si="43"/>
        <v>390403.60247782344</v>
      </c>
      <c r="G183" s="127">
        <f t="shared" si="43"/>
        <v>390403.60247782344</v>
      </c>
      <c r="H183" s="127">
        <f t="shared" si="43"/>
        <v>390403.60247782344</v>
      </c>
      <c r="I183" s="127">
        <f t="shared" si="43"/>
        <v>390403.60247782344</v>
      </c>
      <c r="J183" s="127">
        <f t="shared" si="43"/>
        <v>390403.60247782344</v>
      </c>
      <c r="K183" s="127">
        <f t="shared" si="43"/>
        <v>390403.60247782344</v>
      </c>
      <c r="L183" s="127">
        <f t="shared" si="43"/>
        <v>390403.60247782344</v>
      </c>
      <c r="M183" s="127">
        <f t="shared" si="43"/>
        <v>390403.60247782344</v>
      </c>
      <c r="N183" s="127">
        <f t="shared" si="43"/>
        <v>390403.60247782344</v>
      </c>
      <c r="O183" s="127">
        <f t="shared" si="43"/>
        <v>390403.60247782344</v>
      </c>
      <c r="P183" s="970" t="s">
        <v>346</v>
      </c>
      <c r="Q183" s="979"/>
    </row>
    <row r="184" spans="1:17" ht="6.75" customHeight="1">
      <c r="A184" s="6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63"/>
    </row>
    <row r="185" spans="1:17" ht="34.5" customHeight="1" thickBot="1">
      <c r="A185" s="939" t="s">
        <v>249</v>
      </c>
      <c r="B185" s="940"/>
      <c r="C185" s="940"/>
      <c r="D185" s="67">
        <f>SUM(D182:D183)</f>
        <v>401180.08812553028</v>
      </c>
      <c r="E185" s="67">
        <f t="shared" ref="E185:O185" si="44">SUM(E182:E183)</f>
        <v>408175.04370647774</v>
      </c>
      <c r="F185" s="67">
        <f t="shared" si="44"/>
        <v>411667.1366196759</v>
      </c>
      <c r="G185" s="67">
        <f t="shared" si="44"/>
        <v>436899.32531361334</v>
      </c>
      <c r="H185" s="67">
        <f t="shared" si="44"/>
        <v>764674.11263808049</v>
      </c>
      <c r="I185" s="67">
        <f t="shared" si="44"/>
        <v>764674.11263808049</v>
      </c>
      <c r="J185" s="67">
        <f t="shared" si="44"/>
        <v>764674.11263808049</v>
      </c>
      <c r="K185" s="67">
        <f t="shared" si="44"/>
        <v>764674.11263808049</v>
      </c>
      <c r="L185" s="67">
        <f t="shared" si="44"/>
        <v>764674.11263808049</v>
      </c>
      <c r="M185" s="67">
        <f t="shared" si="44"/>
        <v>764674.11263808049</v>
      </c>
      <c r="N185" s="67">
        <f t="shared" si="44"/>
        <v>764674.11263808049</v>
      </c>
      <c r="O185" s="67">
        <f t="shared" si="44"/>
        <v>764674.11263808049</v>
      </c>
      <c r="P185" s="974"/>
      <c r="Q185" s="975"/>
    </row>
    <row r="187" spans="1:17" ht="15.75" thickBot="1"/>
    <row r="188" spans="1:17" ht="15" customHeight="1">
      <c r="A188" s="941" t="s">
        <v>62</v>
      </c>
      <c r="B188" s="930"/>
      <c r="C188" s="930"/>
      <c r="D188" s="930"/>
      <c r="E188" s="930"/>
      <c r="F188" s="930"/>
      <c r="G188" s="930"/>
      <c r="H188" s="930"/>
      <c r="I188" s="930"/>
      <c r="J188" s="930"/>
      <c r="K188" s="930"/>
      <c r="L188" s="930"/>
      <c r="M188" s="930"/>
      <c r="N188" s="930"/>
      <c r="O188" s="930"/>
      <c r="P188" s="930"/>
      <c r="Q188" s="942"/>
    </row>
    <row r="189" spans="1:17" ht="15" customHeight="1">
      <c r="A189" s="943"/>
      <c r="B189" s="944"/>
      <c r="C189" s="944"/>
      <c r="D189" s="944"/>
      <c r="E189" s="944"/>
      <c r="F189" s="944"/>
      <c r="G189" s="944"/>
      <c r="H189" s="944"/>
      <c r="I189" s="944"/>
      <c r="J189" s="944"/>
      <c r="K189" s="944"/>
      <c r="L189" s="944"/>
      <c r="M189" s="944"/>
      <c r="N189" s="944"/>
      <c r="O189" s="944"/>
      <c r="P189" s="944"/>
      <c r="Q189" s="945"/>
    </row>
    <row r="190" spans="1:17">
      <c r="A190" s="946" t="s">
        <v>31</v>
      </c>
      <c r="B190" s="947"/>
      <c r="C190" s="947"/>
      <c r="D190" s="300" t="s">
        <v>0</v>
      </c>
      <c r="E190" s="300" t="s">
        <v>1</v>
      </c>
      <c r="F190" s="300" t="s">
        <v>2</v>
      </c>
      <c r="G190" s="300" t="s">
        <v>3</v>
      </c>
      <c r="H190" s="300" t="s">
        <v>4</v>
      </c>
      <c r="I190" s="300" t="s">
        <v>5</v>
      </c>
      <c r="J190" s="300" t="s">
        <v>6</v>
      </c>
      <c r="K190" s="300" t="s">
        <v>7</v>
      </c>
      <c r="L190" s="300" t="s">
        <v>8</v>
      </c>
      <c r="M190" s="300" t="s">
        <v>240</v>
      </c>
      <c r="N190" s="300" t="s">
        <v>241</v>
      </c>
      <c r="O190" s="300" t="s">
        <v>242</v>
      </c>
      <c r="P190" s="920" t="s">
        <v>164</v>
      </c>
      <c r="Q190" s="995"/>
    </row>
    <row r="191" spans="1:17">
      <c r="A191" s="1002" t="s">
        <v>250</v>
      </c>
      <c r="B191" s="1003"/>
      <c r="C191" s="1004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005"/>
      <c r="Q191" s="1006"/>
    </row>
    <row r="192" spans="1:17" ht="30" customHeight="1">
      <c r="A192" s="75"/>
      <c r="B192" s="65"/>
      <c r="C192" s="74" t="s">
        <v>63</v>
      </c>
      <c r="D192" s="127">
        <f>30963.0443344481*1.16</f>
        <v>35917.131427959794</v>
      </c>
      <c r="E192" s="127">
        <f>41732.7988855604*1.16</f>
        <v>48410.046707250061</v>
      </c>
      <c r="F192" s="127">
        <f>48256*1.16</f>
        <v>55976.959999999999</v>
      </c>
      <c r="G192" s="127">
        <f>93500*1.16</f>
        <v>108459.99999999999</v>
      </c>
      <c r="H192" s="127">
        <f>110000*1.16</f>
        <v>127599.99999999999</v>
      </c>
      <c r="I192" s="127">
        <f>115266*1.16</f>
        <v>133708.56</v>
      </c>
      <c r="J192" s="127">
        <f>127395*1.16</f>
        <v>147778.19999999998</v>
      </c>
      <c r="K192" s="127">
        <f>152876*1.16</f>
        <v>177336.15999999997</v>
      </c>
      <c r="L192" s="127">
        <f>(K192+17128)*1.16</f>
        <v>225578.42559999996</v>
      </c>
      <c r="M192" s="127"/>
      <c r="N192" s="127"/>
      <c r="O192" s="135"/>
      <c r="P192" s="1009" t="s">
        <v>556</v>
      </c>
      <c r="Q192" s="1010"/>
    </row>
    <row r="193" spans="1:22">
      <c r="A193" s="75"/>
      <c r="B193" s="65"/>
      <c r="C193" s="70" t="s">
        <v>254</v>
      </c>
      <c r="D193" s="64">
        <f>[2]Hoja1!D9*1.16</f>
        <v>45472</v>
      </c>
      <c r="E193" s="64">
        <f>[2]Hoja1!E9*1.16</f>
        <v>65888</v>
      </c>
      <c r="F193" s="64">
        <f>[2]Hoja1!F9*1.16</f>
        <v>78880</v>
      </c>
      <c r="G193" s="64">
        <f>129000*1.16</f>
        <v>149640</v>
      </c>
      <c r="H193" s="64">
        <f>[2]Hoja1!H9*1.16</f>
        <v>157760</v>
      </c>
      <c r="I193" s="64">
        <f>[2]Hoja1!I9*1.16</f>
        <v>262160</v>
      </c>
      <c r="J193" s="64">
        <f>[2]Hoja1!J9*1.16</f>
        <v>382800</v>
      </c>
      <c r="K193" s="64">
        <f>[2]Hoja1!K9*1.16</f>
        <v>821280</v>
      </c>
      <c r="L193" s="64">
        <f>[2]Hoja1!L9*1.16</f>
        <v>1059080</v>
      </c>
      <c r="M193" s="64"/>
      <c r="N193" s="64"/>
      <c r="O193" s="64"/>
      <c r="P193" s="1007" t="s">
        <v>557</v>
      </c>
      <c r="Q193" s="1008"/>
    </row>
    <row r="194" spans="1:22">
      <c r="A194" s="75"/>
      <c r="B194" s="65"/>
      <c r="C194" s="70" t="s">
        <v>255</v>
      </c>
      <c r="D194" s="64">
        <f>[2]Hoja1!D12*1.16</f>
        <v>5800</v>
      </c>
      <c r="E194" s="64">
        <f>[2]Hoja1!E12*1.16</f>
        <v>8468</v>
      </c>
      <c r="F194" s="64">
        <f>[2]Hoja1!F12*1.16</f>
        <v>9048</v>
      </c>
      <c r="G194" s="64">
        <f>[2]Hoja1!G12*1.16</f>
        <v>12296</v>
      </c>
      <c r="H194" s="64">
        <f>[2]Hoja1!H12*1.16</f>
        <v>18908</v>
      </c>
      <c r="I194" s="64">
        <f>[2]Hoja1!I12*1.16</f>
        <v>25056</v>
      </c>
      <c r="J194" s="64">
        <f>[2]Hoja1!J12*1.16</f>
        <v>37120</v>
      </c>
      <c r="K194" s="64">
        <f>[2]Hoja1!K12*1.16</f>
        <v>47560</v>
      </c>
      <c r="L194" s="64">
        <f>[2]Hoja1!L12*1.16</f>
        <v>69692.799999999988</v>
      </c>
      <c r="M194" s="64"/>
      <c r="N194" s="64"/>
      <c r="O194" s="129"/>
      <c r="P194" s="1007" t="s">
        <v>557</v>
      </c>
      <c r="Q194" s="1008"/>
    </row>
    <row r="195" spans="1:22">
      <c r="A195" s="75"/>
      <c r="B195" s="65"/>
      <c r="C195" s="70" t="s">
        <v>256</v>
      </c>
      <c r="D195" s="130">
        <f>2960000*1.2</f>
        <v>3552000</v>
      </c>
      <c r="E195" s="130">
        <f>4285000*1.2</f>
        <v>5142000</v>
      </c>
      <c r="F195" s="130">
        <f>4796338*1.15</f>
        <v>5515788.6999999993</v>
      </c>
      <c r="G195" s="130">
        <v>7036386</v>
      </c>
      <c r="H195" s="130">
        <f>9381000</f>
        <v>9381000</v>
      </c>
      <c r="I195" s="130">
        <f>13590000</f>
        <v>13590000</v>
      </c>
      <c r="J195" s="130">
        <f>17386000</f>
        <v>17386000</v>
      </c>
      <c r="K195" s="130">
        <f>21759860</f>
        <v>21759860</v>
      </c>
      <c r="L195" s="130">
        <f>26040000</f>
        <v>26040000</v>
      </c>
      <c r="M195" s="130"/>
      <c r="N195" s="130"/>
      <c r="O195" s="64"/>
      <c r="P195" s="1011" t="s">
        <v>362</v>
      </c>
      <c r="Q195" s="1012"/>
    </row>
    <row r="196" spans="1:22" ht="15.75" thickBot="1">
      <c r="A196" s="939" t="s">
        <v>367</v>
      </c>
      <c r="B196" s="940"/>
      <c r="C196" s="940"/>
      <c r="D196" s="67">
        <f>SUM(D192:D195)</f>
        <v>3639189.13142796</v>
      </c>
      <c r="E196" s="67">
        <f t="shared" ref="E196:O196" si="45">SUM(E192:E195)</f>
        <v>5264766.0467072502</v>
      </c>
      <c r="F196" s="67">
        <f t="shared" si="45"/>
        <v>5659693.6599999992</v>
      </c>
      <c r="G196" s="67">
        <f>SUM(G192:G195)*1.16</f>
        <v>8475867.1199999992</v>
      </c>
      <c r="H196" s="67">
        <f t="shared" si="45"/>
        <v>9685268</v>
      </c>
      <c r="I196" s="67">
        <f t="shared" si="45"/>
        <v>14010924.560000001</v>
      </c>
      <c r="J196" s="67">
        <f>SUM(J192:J195)</f>
        <v>17953698.199999999</v>
      </c>
      <c r="K196" s="67">
        <f t="shared" si="45"/>
        <v>22806036.16</v>
      </c>
      <c r="L196" s="67">
        <f>SUM(L192:L195)</f>
        <v>27394351.2256</v>
      </c>
      <c r="M196" s="67">
        <f t="shared" si="45"/>
        <v>0</v>
      </c>
      <c r="N196" s="67">
        <f t="shared" si="45"/>
        <v>0</v>
      </c>
      <c r="O196" s="67">
        <f t="shared" si="45"/>
        <v>0</v>
      </c>
      <c r="P196" s="980"/>
      <c r="Q196" s="981"/>
    </row>
    <row r="198" spans="1:22" s="57" customFormat="1" ht="19.5" customHeight="1" thickBot="1">
      <c r="A198" s="230"/>
      <c r="B198" s="230"/>
      <c r="C198" s="230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2"/>
      <c r="Q198" s="232"/>
      <c r="S198" s="228"/>
      <c r="T198" s="228"/>
      <c r="U198" s="669"/>
      <c r="V198" s="670"/>
    </row>
    <row r="199" spans="1:22" ht="19.5" customHeight="1">
      <c r="A199" s="941" t="s">
        <v>441</v>
      </c>
      <c r="B199" s="930"/>
      <c r="C199" s="930"/>
      <c r="D199" s="930"/>
      <c r="E199" s="930"/>
      <c r="F199" s="930"/>
      <c r="G199" s="930"/>
      <c r="H199" s="930"/>
      <c r="I199" s="930"/>
      <c r="J199" s="930"/>
      <c r="K199" s="930"/>
      <c r="L199" s="930"/>
      <c r="M199" s="930"/>
      <c r="N199" s="930"/>
      <c r="O199" s="930"/>
      <c r="P199" s="930"/>
      <c r="Q199" s="942"/>
    </row>
    <row r="200" spans="1:22" ht="15.75" customHeight="1">
      <c r="A200" s="943"/>
      <c r="B200" s="944"/>
      <c r="C200" s="944"/>
      <c r="D200" s="944"/>
      <c r="E200" s="944"/>
      <c r="F200" s="944"/>
      <c r="G200" s="944"/>
      <c r="H200" s="944"/>
      <c r="I200" s="944"/>
      <c r="J200" s="944"/>
      <c r="K200" s="944"/>
      <c r="L200" s="944"/>
      <c r="M200" s="944"/>
      <c r="N200" s="944"/>
      <c r="O200" s="944"/>
      <c r="P200" s="944"/>
      <c r="Q200" s="945"/>
    </row>
    <row r="201" spans="1:22">
      <c r="A201" s="946" t="s">
        <v>31</v>
      </c>
      <c r="B201" s="947"/>
      <c r="C201" s="947"/>
      <c r="D201" s="300" t="s">
        <v>0</v>
      </c>
      <c r="E201" s="300" t="s">
        <v>1</v>
      </c>
      <c r="F201" s="300" t="s">
        <v>2</v>
      </c>
      <c r="G201" s="300" t="s">
        <v>3</v>
      </c>
      <c r="H201" s="300" t="s">
        <v>4</v>
      </c>
      <c r="I201" s="300" t="s">
        <v>5</v>
      </c>
      <c r="J201" s="300" t="s">
        <v>6</v>
      </c>
      <c r="K201" s="300" t="s">
        <v>7</v>
      </c>
      <c r="L201" s="300" t="s">
        <v>8</v>
      </c>
      <c r="M201" s="300" t="s">
        <v>240</v>
      </c>
      <c r="N201" s="300" t="s">
        <v>241</v>
      </c>
      <c r="O201" s="300" t="s">
        <v>242</v>
      </c>
      <c r="P201" s="920" t="s">
        <v>164</v>
      </c>
      <c r="Q201" s="995"/>
    </row>
    <row r="202" spans="1:22" ht="34.5" customHeight="1">
      <c r="A202" s="75"/>
      <c r="B202" s="65"/>
      <c r="C202" s="70" t="s">
        <v>442</v>
      </c>
      <c r="D202" s="64">
        <f t="shared" ref="D202:O202" si="46">D347</f>
        <v>387280</v>
      </c>
      <c r="E202" s="64">
        <f t="shared" si="46"/>
        <v>387280</v>
      </c>
      <c r="F202" s="64">
        <f t="shared" si="46"/>
        <v>387280</v>
      </c>
      <c r="G202" s="64">
        <f t="shared" si="46"/>
        <v>387280</v>
      </c>
      <c r="H202" s="64">
        <f t="shared" si="46"/>
        <v>387280</v>
      </c>
      <c r="I202" s="64">
        <f t="shared" si="46"/>
        <v>387280</v>
      </c>
      <c r="J202" s="64">
        <f t="shared" si="46"/>
        <v>387280</v>
      </c>
      <c r="K202" s="64">
        <f t="shared" si="46"/>
        <v>387280</v>
      </c>
      <c r="L202" s="64">
        <f t="shared" si="46"/>
        <v>387280</v>
      </c>
      <c r="M202" s="64">
        <f t="shared" si="46"/>
        <v>387280</v>
      </c>
      <c r="N202" s="64">
        <f t="shared" si="46"/>
        <v>387280</v>
      </c>
      <c r="O202" s="64">
        <f t="shared" si="46"/>
        <v>387280</v>
      </c>
      <c r="P202" s="989" t="s">
        <v>346</v>
      </c>
      <c r="Q202" s="990"/>
    </row>
    <row r="203" spans="1:22" ht="15.75" thickBot="1">
      <c r="A203" s="939" t="s">
        <v>443</v>
      </c>
      <c r="B203" s="940"/>
      <c r="C203" s="940"/>
      <c r="D203" s="67">
        <f>SUM(D202)</f>
        <v>387280</v>
      </c>
      <c r="E203" s="67">
        <f t="shared" ref="E203:O203" si="47">SUM(E202)</f>
        <v>387280</v>
      </c>
      <c r="F203" s="67">
        <f t="shared" si="47"/>
        <v>387280</v>
      </c>
      <c r="G203" s="67">
        <f t="shared" si="47"/>
        <v>387280</v>
      </c>
      <c r="H203" s="67">
        <f t="shared" si="47"/>
        <v>387280</v>
      </c>
      <c r="I203" s="67">
        <f t="shared" si="47"/>
        <v>387280</v>
      </c>
      <c r="J203" s="67">
        <f t="shared" si="47"/>
        <v>387280</v>
      </c>
      <c r="K203" s="67">
        <f t="shared" si="47"/>
        <v>387280</v>
      </c>
      <c r="L203" s="67">
        <f t="shared" si="47"/>
        <v>387280</v>
      </c>
      <c r="M203" s="67">
        <f t="shared" si="47"/>
        <v>387280</v>
      </c>
      <c r="N203" s="67">
        <f t="shared" si="47"/>
        <v>387280</v>
      </c>
      <c r="O203" s="67">
        <f t="shared" si="47"/>
        <v>387280</v>
      </c>
      <c r="P203" s="980"/>
      <c r="Q203" s="981"/>
    </row>
    <row r="205" spans="1:22" ht="15.75" thickBot="1"/>
    <row r="206" spans="1:22">
      <c r="A206" s="941" t="s">
        <v>578</v>
      </c>
      <c r="B206" s="930"/>
      <c r="C206" s="930"/>
      <c r="D206" s="930"/>
      <c r="E206" s="930"/>
      <c r="F206" s="930"/>
      <c r="G206" s="930"/>
      <c r="H206" s="930"/>
      <c r="I206" s="930"/>
      <c r="J206" s="930"/>
      <c r="K206" s="930"/>
      <c r="L206" s="930"/>
      <c r="M206" s="930"/>
      <c r="N206" s="930"/>
      <c r="O206" s="930"/>
      <c r="P206" s="930"/>
      <c r="Q206" s="942"/>
    </row>
    <row r="207" spans="1:22">
      <c r="A207" s="943"/>
      <c r="B207" s="944"/>
      <c r="C207" s="944"/>
      <c r="D207" s="944"/>
      <c r="E207" s="944"/>
      <c r="F207" s="944"/>
      <c r="G207" s="944"/>
      <c r="H207" s="944"/>
      <c r="I207" s="944"/>
      <c r="J207" s="944"/>
      <c r="K207" s="944"/>
      <c r="L207" s="944"/>
      <c r="M207" s="944"/>
      <c r="N207" s="944"/>
      <c r="O207" s="944"/>
      <c r="P207" s="944"/>
      <c r="Q207" s="945"/>
    </row>
    <row r="208" spans="1:22" ht="19.5" customHeight="1" thickBot="1">
      <c r="A208" s="991" t="s">
        <v>31</v>
      </c>
      <c r="B208" s="992"/>
      <c r="C208" s="992"/>
      <c r="D208" s="80" t="s">
        <v>0</v>
      </c>
      <c r="E208" s="80" t="s">
        <v>1</v>
      </c>
      <c r="F208" s="80" t="s">
        <v>2</v>
      </c>
      <c r="G208" s="80" t="s">
        <v>3</v>
      </c>
      <c r="H208" s="80" t="s">
        <v>4</v>
      </c>
      <c r="I208" s="80" t="s">
        <v>5</v>
      </c>
      <c r="J208" s="80" t="s">
        <v>6</v>
      </c>
      <c r="K208" s="80" t="s">
        <v>7</v>
      </c>
      <c r="L208" s="80" t="s">
        <v>8</v>
      </c>
      <c r="M208" s="80" t="s">
        <v>240</v>
      </c>
      <c r="N208" s="80" t="s">
        <v>241</v>
      </c>
      <c r="O208" s="80" t="s">
        <v>242</v>
      </c>
      <c r="P208" s="993" t="s">
        <v>164</v>
      </c>
      <c r="Q208" s="994"/>
    </row>
    <row r="209" spans="1:17" ht="32.25" customHeight="1">
      <c r="A209" s="596"/>
      <c r="B209" s="78"/>
      <c r="C209" s="597" t="s">
        <v>61</v>
      </c>
      <c r="D209" s="473">
        <f t="shared" ref="D209:O209" si="48">D350</f>
        <v>57813.388649690096</v>
      </c>
      <c r="E209" s="473">
        <f t="shared" si="48"/>
        <v>64236.201020109736</v>
      </c>
      <c r="F209" s="473">
        <f t="shared" si="48"/>
        <v>71373.855848859457</v>
      </c>
      <c r="G209" s="473">
        <f t="shared" si="48"/>
        <v>79304.433856434829</v>
      </c>
      <c r="H209" s="473">
        <f t="shared" si="48"/>
        <v>198261.75775074653</v>
      </c>
      <c r="I209" s="473">
        <f t="shared" si="48"/>
        <v>198261.75775074653</v>
      </c>
      <c r="J209" s="473">
        <f t="shared" si="48"/>
        <v>198261.75775074653</v>
      </c>
      <c r="K209" s="473">
        <f t="shared" si="48"/>
        <v>198261.75775074653</v>
      </c>
      <c r="L209" s="473">
        <f t="shared" si="48"/>
        <v>198261.75775074653</v>
      </c>
      <c r="M209" s="473">
        <f t="shared" si="48"/>
        <v>198261.75775074653</v>
      </c>
      <c r="N209" s="473">
        <f t="shared" si="48"/>
        <v>198261.75775074653</v>
      </c>
      <c r="O209" s="473">
        <f t="shared" si="48"/>
        <v>198261.75775074653</v>
      </c>
      <c r="P209" s="1016" t="s">
        <v>346</v>
      </c>
      <c r="Q209" s="1016"/>
    </row>
    <row r="210" spans="1:17" ht="20.25" customHeight="1" thickBot="1">
      <c r="A210" s="939" t="s">
        <v>369</v>
      </c>
      <c r="B210" s="940"/>
      <c r="C210" s="940"/>
      <c r="D210" s="67">
        <f>SUM(D209)</f>
        <v>57813.388649690096</v>
      </c>
      <c r="E210" s="67">
        <f t="shared" ref="E210:O210" si="49">SUM(E209)</f>
        <v>64236.201020109736</v>
      </c>
      <c r="F210" s="67">
        <f t="shared" si="49"/>
        <v>71373.855848859457</v>
      </c>
      <c r="G210" s="67">
        <f t="shared" si="49"/>
        <v>79304.433856434829</v>
      </c>
      <c r="H210" s="67">
        <f t="shared" si="49"/>
        <v>198261.75775074653</v>
      </c>
      <c r="I210" s="67">
        <f t="shared" si="49"/>
        <v>198261.75775074653</v>
      </c>
      <c r="J210" s="67">
        <f t="shared" si="49"/>
        <v>198261.75775074653</v>
      </c>
      <c r="K210" s="67">
        <f t="shared" si="49"/>
        <v>198261.75775074653</v>
      </c>
      <c r="L210" s="67">
        <f t="shared" si="49"/>
        <v>198261.75775074653</v>
      </c>
      <c r="M210" s="67">
        <f t="shared" si="49"/>
        <v>198261.75775074653</v>
      </c>
      <c r="N210" s="67">
        <f t="shared" si="49"/>
        <v>198261.75775074653</v>
      </c>
      <c r="O210" s="67">
        <f t="shared" si="49"/>
        <v>198261.75775074653</v>
      </c>
      <c r="P210" s="980"/>
      <c r="Q210" s="981"/>
    </row>
    <row r="212" spans="1:17" ht="15.75" thickBot="1"/>
    <row r="213" spans="1:17" ht="18.75" customHeight="1">
      <c r="A213" s="941" t="s">
        <v>47</v>
      </c>
      <c r="B213" s="930"/>
      <c r="C213" s="930"/>
      <c r="D213" s="930"/>
      <c r="E213" s="930"/>
      <c r="F213" s="930"/>
      <c r="G213" s="930"/>
      <c r="H213" s="930"/>
      <c r="I213" s="930"/>
      <c r="J213" s="930"/>
      <c r="K213" s="930"/>
      <c r="L213" s="930"/>
      <c r="M213" s="930"/>
      <c r="N213" s="930"/>
      <c r="O213" s="930"/>
      <c r="P213" s="930"/>
      <c r="Q213" s="942"/>
    </row>
    <row r="214" spans="1:17" ht="15" customHeight="1" thickBot="1">
      <c r="A214" s="943"/>
      <c r="B214" s="944"/>
      <c r="C214" s="944"/>
      <c r="D214" s="944"/>
      <c r="E214" s="944"/>
      <c r="F214" s="944"/>
      <c r="G214" s="944"/>
      <c r="H214" s="944"/>
      <c r="I214" s="944"/>
      <c r="J214" s="944"/>
      <c r="K214" s="944"/>
      <c r="L214" s="944"/>
      <c r="M214" s="944"/>
      <c r="N214" s="944"/>
      <c r="O214" s="944"/>
      <c r="P214" s="983"/>
      <c r="Q214" s="984"/>
    </row>
    <row r="215" spans="1:17" ht="15" customHeight="1" thickBot="1">
      <c r="A215" s="931" t="s">
        <v>31</v>
      </c>
      <c r="B215" s="932"/>
      <c r="C215" s="933"/>
      <c r="D215" s="239" t="s">
        <v>0</v>
      </c>
      <c r="E215" s="432" t="s">
        <v>1</v>
      </c>
      <c r="F215" s="432" t="s">
        <v>2</v>
      </c>
      <c r="G215" s="432" t="s">
        <v>3</v>
      </c>
      <c r="H215" s="433" t="s">
        <v>4</v>
      </c>
      <c r="I215" s="440" t="s">
        <v>5</v>
      </c>
      <c r="J215" s="239" t="s">
        <v>6</v>
      </c>
      <c r="K215" s="432" t="s">
        <v>7</v>
      </c>
      <c r="L215" s="432" t="s">
        <v>8</v>
      </c>
      <c r="M215" s="433" t="s">
        <v>240</v>
      </c>
      <c r="N215" s="239" t="s">
        <v>241</v>
      </c>
      <c r="O215" s="433" t="s">
        <v>242</v>
      </c>
      <c r="P215" s="936" t="s">
        <v>164</v>
      </c>
      <c r="Q215" s="949"/>
    </row>
    <row r="216" spans="1:17" ht="25.5" customHeight="1" thickBot="1">
      <c r="A216" s="309"/>
      <c r="B216" s="310"/>
      <c r="C216" s="311"/>
      <c r="D216" s="1096" t="s">
        <v>419</v>
      </c>
      <c r="E216" s="1097"/>
      <c r="F216" s="1097"/>
      <c r="G216" s="1097"/>
      <c r="H216" s="1098"/>
      <c r="I216" s="632" t="s">
        <v>420</v>
      </c>
      <c r="J216" s="1049" t="s">
        <v>421</v>
      </c>
      <c r="K216" s="1050"/>
      <c r="L216" s="1050"/>
      <c r="M216" s="1051"/>
      <c r="N216" s="1057" t="s">
        <v>422</v>
      </c>
      <c r="O216" s="1058"/>
      <c r="P216" s="310"/>
      <c r="Q216" s="311"/>
    </row>
    <row r="217" spans="1:17" s="57" customFormat="1" ht="29.25" customHeight="1">
      <c r="A217" s="753"/>
      <c r="B217" s="754"/>
      <c r="C217" s="586" t="s">
        <v>397</v>
      </c>
      <c r="D217" s="756">
        <v>12500</v>
      </c>
      <c r="E217" s="757">
        <v>12500</v>
      </c>
      <c r="F217" s="757">
        <v>12500</v>
      </c>
      <c r="G217" s="757">
        <v>12500</v>
      </c>
      <c r="H217" s="758">
        <v>12500</v>
      </c>
      <c r="I217" s="759">
        <v>12500</v>
      </c>
      <c r="J217" s="756">
        <v>12500</v>
      </c>
      <c r="K217" s="757">
        <v>12500</v>
      </c>
      <c r="L217" s="757">
        <v>12500</v>
      </c>
      <c r="M217" s="758">
        <v>12500</v>
      </c>
      <c r="N217" s="759">
        <v>12500</v>
      </c>
      <c r="O217" s="772">
        <v>12500</v>
      </c>
      <c r="P217" s="754"/>
      <c r="Q217" s="755"/>
    </row>
    <row r="218" spans="1:17" s="25" customFormat="1" ht="32.25" customHeight="1">
      <c r="A218" s="444"/>
      <c r="B218" s="445"/>
      <c r="C218" s="586" t="s">
        <v>48</v>
      </c>
      <c r="D218" s="761">
        <f>'02-HH-2014'!$C$34*2</f>
        <v>112096.10866666665</v>
      </c>
      <c r="E218" s="314">
        <f>'02-HH-2014'!$C$34*2</f>
        <v>112096.10866666665</v>
      </c>
      <c r="F218" s="314">
        <f>'02-HH-2014'!$C$34*2</f>
        <v>112096.10866666665</v>
      </c>
      <c r="G218" s="314">
        <f>'02-HH-2014'!$C$34*2</f>
        <v>112096.10866666665</v>
      </c>
      <c r="H218" s="763">
        <f>'02-HH-2014'!$C$34*2</f>
        <v>112096.10866666665</v>
      </c>
      <c r="I218" s="752">
        <f>'02-HH-2014'!$C$34*2</f>
        <v>112096.10866666665</v>
      </c>
      <c r="J218" s="761">
        <f>'02-HH-2014'!$C$34*2</f>
        <v>112096.10866666665</v>
      </c>
      <c r="K218" s="765">
        <f>'02-HH-2014'!$C$34*2</f>
        <v>112096.10866666665</v>
      </c>
      <c r="L218" s="765">
        <f>'02-HH-2014'!$C$34*2</f>
        <v>112096.10866666665</v>
      </c>
      <c r="M218" s="763">
        <f>'02-HH-2014'!$C$34*2</f>
        <v>112096.10866666665</v>
      </c>
      <c r="N218" s="766">
        <f>'02-HH-2014'!$C$34*2</f>
        <v>112096.10866666665</v>
      </c>
      <c r="O218" s="773">
        <f>'02-HH-2014'!$C$34*2</f>
        <v>112096.10866666665</v>
      </c>
      <c r="P218" s="987" t="s">
        <v>559</v>
      </c>
      <c r="Q218" s="988"/>
    </row>
    <row r="219" spans="1:17" s="25" customFormat="1" ht="34.5" customHeight="1">
      <c r="A219" s="312"/>
      <c r="B219" s="313"/>
      <c r="C219" s="587" t="s">
        <v>49</v>
      </c>
      <c r="D219" s="762">
        <f>321637*2</f>
        <v>643274</v>
      </c>
      <c r="E219" s="314">
        <f t="shared" ref="E219:H219" si="50">321637*2</f>
        <v>643274</v>
      </c>
      <c r="F219" s="314">
        <f t="shared" si="50"/>
        <v>643274</v>
      </c>
      <c r="G219" s="314">
        <f t="shared" si="50"/>
        <v>643274</v>
      </c>
      <c r="H219" s="764">
        <f t="shared" si="50"/>
        <v>643274</v>
      </c>
      <c r="I219" s="488">
        <f>321637*3</f>
        <v>964911</v>
      </c>
      <c r="J219" s="762">
        <f>321637*4</f>
        <v>1286548</v>
      </c>
      <c r="K219" s="314">
        <f t="shared" ref="K219:M219" si="51">321637*4</f>
        <v>1286548</v>
      </c>
      <c r="L219" s="314">
        <f t="shared" si="51"/>
        <v>1286548</v>
      </c>
      <c r="M219" s="764">
        <f t="shared" si="51"/>
        <v>1286548</v>
      </c>
      <c r="N219" s="488">
        <f>321637*5</f>
        <v>1608185</v>
      </c>
      <c r="O219" s="774">
        <f>321637*5</f>
        <v>1608185</v>
      </c>
      <c r="P219" s="967" t="s">
        <v>457</v>
      </c>
      <c r="Q219" s="956"/>
    </row>
    <row r="220" spans="1:17" s="25" customFormat="1" ht="43.5" customHeight="1">
      <c r="A220" s="312"/>
      <c r="B220" s="313"/>
      <c r="C220" s="587" t="s">
        <v>50</v>
      </c>
      <c r="D220" s="314">
        <f>94253*2</f>
        <v>188506</v>
      </c>
      <c r="E220" s="314">
        <f>94253*2</f>
        <v>188506</v>
      </c>
      <c r="F220" s="314">
        <f>94253*2</f>
        <v>188506</v>
      </c>
      <c r="G220" s="314">
        <f>204288.3793812*2</f>
        <v>408576.75876240002</v>
      </c>
      <c r="H220" s="489">
        <f>336286.744841107*2</f>
        <v>672573.48968221399</v>
      </c>
      <c r="I220" s="490">
        <f>537884.248452602*3</f>
        <v>1613652.7453578059</v>
      </c>
      <c r="J220" s="488">
        <f>670246.24577328*4</f>
        <v>2680984.9830931202</v>
      </c>
      <c r="K220" s="314">
        <f>J220+132402</f>
        <v>2813386.9830931202</v>
      </c>
      <c r="L220" s="314">
        <f t="shared" ref="L220:O220" si="52">K220+132402</f>
        <v>2945788.9830931202</v>
      </c>
      <c r="M220" s="314">
        <f t="shared" si="52"/>
        <v>3078190.9830931202</v>
      </c>
      <c r="N220" s="314">
        <f t="shared" si="52"/>
        <v>3210592.9830931202</v>
      </c>
      <c r="O220" s="314">
        <f t="shared" si="52"/>
        <v>3342994.9830931202</v>
      </c>
      <c r="P220" s="967" t="s">
        <v>558</v>
      </c>
      <c r="Q220" s="956"/>
    </row>
    <row r="221" spans="1:17" s="25" customFormat="1" ht="44.25" customHeight="1">
      <c r="A221" s="312"/>
      <c r="B221" s="313"/>
      <c r="C221" s="588" t="s">
        <v>51</v>
      </c>
      <c r="D221" s="762">
        <f>'02-HH-2014'!$C$26*2</f>
        <v>322273.05143896001</v>
      </c>
      <c r="E221" s="314">
        <f>'02-HH-2014'!$C$26*2</f>
        <v>322273.05143896001</v>
      </c>
      <c r="F221" s="314">
        <f>'02-HH-2014'!$C$26*2</f>
        <v>322273.05143896001</v>
      </c>
      <c r="G221" s="314">
        <f>'02-HH-2014'!$C$26*2</f>
        <v>322273.05143896001</v>
      </c>
      <c r="H221" s="775">
        <f>'02-HH-2014'!$C$26*2</f>
        <v>322273.05143896001</v>
      </c>
      <c r="I221" s="762">
        <f>'02-HH-2014'!$C$26*3</f>
        <v>483409.57715844002</v>
      </c>
      <c r="J221" s="762">
        <f>'02-HH-2014'!$C$26*4</f>
        <v>644546.10287792003</v>
      </c>
      <c r="K221" s="314">
        <f>'02-HH-2014'!$C$26*4</f>
        <v>644546.10287792003</v>
      </c>
      <c r="L221" s="314">
        <f>'02-HH-2014'!$C$26*4</f>
        <v>644546.10287792003</v>
      </c>
      <c r="M221" s="775">
        <f>'02-HH-2014'!$C$26*4</f>
        <v>644546.10287792003</v>
      </c>
      <c r="N221" s="488">
        <f>'02-HH-2014'!$C$26*5</f>
        <v>805682.62859740003</v>
      </c>
      <c r="O221" s="774">
        <f>'02-HH-2014'!$C$26*5</f>
        <v>805682.62859740003</v>
      </c>
      <c r="P221" s="987" t="s">
        <v>559</v>
      </c>
      <c r="Q221" s="988"/>
    </row>
    <row r="222" spans="1:17" s="25" customFormat="1" ht="61.5" customHeight="1">
      <c r="A222" s="315"/>
      <c r="B222" s="316"/>
      <c r="C222" s="588" t="s">
        <v>52</v>
      </c>
      <c r="D222" s="762">
        <f>(896680/3)*2</f>
        <v>597786.66666666663</v>
      </c>
      <c r="E222" s="314">
        <f t="shared" ref="E222:H222" si="53">(896680/3)*2</f>
        <v>597786.66666666663</v>
      </c>
      <c r="F222" s="314">
        <f t="shared" si="53"/>
        <v>597786.66666666663</v>
      </c>
      <c r="G222" s="314">
        <f t="shared" si="53"/>
        <v>597786.66666666663</v>
      </c>
      <c r="H222" s="764">
        <f t="shared" si="53"/>
        <v>597786.66666666663</v>
      </c>
      <c r="I222" s="488">
        <f>1163480/3</f>
        <v>387826.66666666669</v>
      </c>
      <c r="J222" s="762">
        <f>1221480/3</f>
        <v>407160</v>
      </c>
      <c r="K222" s="314">
        <f>J222+58000</f>
        <v>465160</v>
      </c>
      <c r="L222" s="314">
        <f t="shared" ref="L222:M222" si="54">K222+58000</f>
        <v>523160</v>
      </c>
      <c r="M222" s="774">
        <f t="shared" si="54"/>
        <v>581160</v>
      </c>
      <c r="N222" s="488">
        <f>1569480/3</f>
        <v>523160</v>
      </c>
      <c r="O222" s="774">
        <f>N222+58000</f>
        <v>581160</v>
      </c>
      <c r="P222" s="967" t="s">
        <v>560</v>
      </c>
      <c r="Q222" s="956"/>
    </row>
    <row r="223" spans="1:17" s="25" customFormat="1" ht="51" customHeight="1">
      <c r="A223" s="315"/>
      <c r="B223" s="316"/>
      <c r="C223" s="588" t="s">
        <v>53</v>
      </c>
      <c r="D223" s="767">
        <f>($D$235)*2*2</f>
        <v>76000</v>
      </c>
      <c r="E223" s="767">
        <f t="shared" ref="E223:H223" si="55">($D$235)*2*2</f>
        <v>76000</v>
      </c>
      <c r="F223" s="767">
        <f t="shared" si="55"/>
        <v>76000</v>
      </c>
      <c r="G223" s="767">
        <f t="shared" si="55"/>
        <v>76000</v>
      </c>
      <c r="H223" s="767">
        <f t="shared" si="55"/>
        <v>76000</v>
      </c>
      <c r="I223" s="767">
        <f>($D$235)*2*3</f>
        <v>114000</v>
      </c>
      <c r="J223" s="767">
        <f>($D$235)*2*4</f>
        <v>152000</v>
      </c>
      <c r="K223" s="767">
        <f t="shared" ref="K223:M223" si="56">($D$235)*2*4</f>
        <v>152000</v>
      </c>
      <c r="L223" s="767">
        <f t="shared" si="56"/>
        <v>152000</v>
      </c>
      <c r="M223" s="767">
        <f t="shared" si="56"/>
        <v>152000</v>
      </c>
      <c r="N223" s="767">
        <f>($D$235)*2*5</f>
        <v>190000</v>
      </c>
      <c r="O223" s="767">
        <f>($D$235)*2*5</f>
        <v>190000</v>
      </c>
      <c r="P223" s="967" t="s">
        <v>561</v>
      </c>
      <c r="Q223" s="956"/>
    </row>
    <row r="224" spans="1:17" s="25" customFormat="1" ht="33.75" customHeight="1">
      <c r="A224" s="315"/>
      <c r="B224" s="316"/>
      <c r="C224" s="588" t="s">
        <v>54</v>
      </c>
      <c r="D224" s="768">
        <f>(D244/3)*2</f>
        <v>257333.33333333334</v>
      </c>
      <c r="E224" s="317">
        <f>(E244/3)*2</f>
        <v>257333.33333333334</v>
      </c>
      <c r="F224" s="317">
        <f>(F244/3)*2</f>
        <v>257333.33333333334</v>
      </c>
      <c r="G224" s="317">
        <f>(G244/3)*2</f>
        <v>257333.33333333334</v>
      </c>
      <c r="H224" s="770">
        <f>(H244/3)*2</f>
        <v>273333.33333333331</v>
      </c>
      <c r="I224" s="594">
        <f t="shared" ref="I224:O224" si="57">I244/3</f>
        <v>136666.66666666666</v>
      </c>
      <c r="J224" s="768">
        <f t="shared" si="57"/>
        <v>136666.66666666666</v>
      </c>
      <c r="K224" s="317">
        <f t="shared" si="57"/>
        <v>136666.66666666666</v>
      </c>
      <c r="L224" s="317">
        <f t="shared" si="57"/>
        <v>136666.66666666666</v>
      </c>
      <c r="M224" s="770">
        <f t="shared" si="57"/>
        <v>136666.66666666666</v>
      </c>
      <c r="N224" s="590">
        <f t="shared" si="57"/>
        <v>136666.66666666666</v>
      </c>
      <c r="O224" s="770">
        <f t="shared" si="57"/>
        <v>136666.66666666666</v>
      </c>
      <c r="P224" s="967" t="s">
        <v>346</v>
      </c>
      <c r="Q224" s="956"/>
    </row>
    <row r="225" spans="1:17" s="25" customFormat="1" ht="34.5" customHeight="1">
      <c r="A225" s="315"/>
      <c r="B225" s="316"/>
      <c r="C225" s="760" t="s">
        <v>55</v>
      </c>
      <c r="D225" s="768">
        <f t="shared" ref="D225:O225" si="58">$D$253/3</f>
        <v>206118.19571865443</v>
      </c>
      <c r="E225" s="317">
        <f t="shared" si="58"/>
        <v>206118.19571865443</v>
      </c>
      <c r="F225" s="317">
        <f t="shared" si="58"/>
        <v>206118.19571865443</v>
      </c>
      <c r="G225" s="317">
        <f t="shared" si="58"/>
        <v>206118.19571865443</v>
      </c>
      <c r="H225" s="771">
        <f t="shared" si="58"/>
        <v>206118.19571865443</v>
      </c>
      <c r="I225" s="590">
        <f t="shared" si="58"/>
        <v>206118.19571865443</v>
      </c>
      <c r="J225" s="768">
        <f t="shared" si="58"/>
        <v>206118.19571865443</v>
      </c>
      <c r="K225" s="317">
        <f t="shared" si="58"/>
        <v>206118.19571865443</v>
      </c>
      <c r="L225" s="317">
        <f t="shared" si="58"/>
        <v>206118.19571865443</v>
      </c>
      <c r="M225" s="771">
        <f t="shared" si="58"/>
        <v>206118.19571865443</v>
      </c>
      <c r="N225" s="590">
        <f t="shared" si="58"/>
        <v>206118.19571865443</v>
      </c>
      <c r="O225" s="770">
        <f t="shared" si="58"/>
        <v>206118.19571865443</v>
      </c>
      <c r="P225" s="967" t="s">
        <v>346</v>
      </c>
      <c r="Q225" s="956"/>
    </row>
    <row r="226" spans="1:17" s="25" customFormat="1" ht="32.25" customHeight="1" thickBot="1">
      <c r="A226" s="584"/>
      <c r="B226" s="585"/>
      <c r="C226" s="589" t="s">
        <v>56</v>
      </c>
      <c r="D226" s="769">
        <f>'02-HH-2014'!$C$26*2</f>
        <v>322273.05143896001</v>
      </c>
      <c r="E226" s="317">
        <f>'02-HH-2014'!$C$26*2</f>
        <v>322273.05143896001</v>
      </c>
      <c r="F226" s="317">
        <f>'02-HH-2014'!$C$26*2</f>
        <v>322273.05143896001</v>
      </c>
      <c r="G226" s="317">
        <f>'02-HH-2014'!$C$26*2</f>
        <v>322273.05143896001</v>
      </c>
      <c r="H226" s="776">
        <f>'02-HH-2014'!$C$26*2</f>
        <v>322273.05143896001</v>
      </c>
      <c r="I226" s="769">
        <f>'02-HH-2014'!$C$26*3</f>
        <v>483409.57715844002</v>
      </c>
      <c r="J226" s="769">
        <f>'02-HH-2014'!$C$26*4</f>
        <v>644546.10287792003</v>
      </c>
      <c r="K226" s="317">
        <f>'02-HH-2014'!$C$26*4</f>
        <v>644546.10287792003</v>
      </c>
      <c r="L226" s="317">
        <f>'02-HH-2014'!$C$26*4</f>
        <v>644546.10287792003</v>
      </c>
      <c r="M226" s="776">
        <f>'02-HH-2014'!$C$26*4</f>
        <v>644546.10287792003</v>
      </c>
      <c r="N226" s="591">
        <f>'02-HH-2014'!$C$26*5</f>
        <v>805682.62859740003</v>
      </c>
      <c r="O226" s="777">
        <f>'02-HH-2014'!$C$26*5</f>
        <v>805682.62859740003</v>
      </c>
      <c r="P226" s="968" t="s">
        <v>346</v>
      </c>
      <c r="Q226" s="969"/>
    </row>
    <row r="227" spans="1:17" ht="15.75" thickBot="1">
      <c r="A227" s="962" t="s">
        <v>366</v>
      </c>
      <c r="B227" s="963"/>
      <c r="C227" s="964"/>
      <c r="D227" s="592">
        <f>SUM(D218:D226)</f>
        <v>2725660.4072632408</v>
      </c>
      <c r="E227" s="121">
        <f t="shared" ref="E227:N227" si="59">SUM(E218:E226)</f>
        <v>2725660.4072632408</v>
      </c>
      <c r="F227" s="121">
        <f t="shared" si="59"/>
        <v>2725660.4072632408</v>
      </c>
      <c r="G227" s="121">
        <f t="shared" si="59"/>
        <v>2945731.1660256414</v>
      </c>
      <c r="H227" s="593">
        <f t="shared" si="59"/>
        <v>3225727.8969454551</v>
      </c>
      <c r="I227" s="595">
        <f t="shared" si="59"/>
        <v>4502090.5373933399</v>
      </c>
      <c r="J227" s="592">
        <f t="shared" si="59"/>
        <v>6270666.1599009484</v>
      </c>
      <c r="K227" s="121">
        <f>SUM(K218:K226)</f>
        <v>6461068.1599009484</v>
      </c>
      <c r="L227" s="121">
        <f t="shared" si="59"/>
        <v>6651470.1599009484</v>
      </c>
      <c r="M227" s="593">
        <f t="shared" si="59"/>
        <v>6841872.1599009484</v>
      </c>
      <c r="N227" s="592">
        <f t="shared" si="59"/>
        <v>7598184.2113399087</v>
      </c>
      <c r="O227" s="593">
        <f>SUM(O218:O226)</f>
        <v>7788586.2113399087</v>
      </c>
      <c r="P227" s="965"/>
      <c r="Q227" s="966"/>
    </row>
    <row r="229" spans="1:17" ht="15.75" thickBot="1"/>
    <row r="230" spans="1:17" ht="18.75" customHeight="1">
      <c r="A230" s="941" t="s">
        <v>450</v>
      </c>
      <c r="B230" s="930"/>
      <c r="C230" s="930"/>
      <c r="D230" s="930"/>
      <c r="E230" s="930"/>
      <c r="F230" s="930"/>
      <c r="G230" s="930"/>
      <c r="H230" s="930"/>
      <c r="I230" s="930"/>
      <c r="J230" s="930"/>
      <c r="K230" s="930"/>
      <c r="L230" s="930"/>
      <c r="M230" s="930"/>
      <c r="N230" s="930"/>
      <c r="O230" s="930"/>
      <c r="P230" s="930"/>
      <c r="Q230" s="942"/>
    </row>
    <row r="231" spans="1:17" ht="15" customHeight="1">
      <c r="A231" s="943"/>
      <c r="B231" s="944"/>
      <c r="C231" s="944"/>
      <c r="D231" s="944"/>
      <c r="E231" s="944"/>
      <c r="F231" s="944"/>
      <c r="G231" s="944"/>
      <c r="H231" s="944"/>
      <c r="I231" s="944"/>
      <c r="J231" s="944"/>
      <c r="K231" s="944"/>
      <c r="L231" s="944"/>
      <c r="M231" s="944"/>
      <c r="N231" s="944"/>
      <c r="O231" s="944"/>
      <c r="P231" s="944"/>
      <c r="Q231" s="945"/>
    </row>
    <row r="232" spans="1:17" ht="15" customHeight="1">
      <c r="A232" s="946" t="s">
        <v>31</v>
      </c>
      <c r="B232" s="947"/>
      <c r="C232" s="947"/>
      <c r="D232" s="274" t="s">
        <v>0</v>
      </c>
      <c r="E232" s="274" t="s">
        <v>1</v>
      </c>
      <c r="F232" s="274" t="s">
        <v>2</v>
      </c>
      <c r="G232" s="274" t="s">
        <v>3</v>
      </c>
      <c r="H232" s="274" t="s">
        <v>4</v>
      </c>
      <c r="I232" s="274" t="s">
        <v>5</v>
      </c>
      <c r="J232" s="274" t="s">
        <v>6</v>
      </c>
      <c r="K232" s="274" t="s">
        <v>7</v>
      </c>
      <c r="L232" s="274" t="s">
        <v>8</v>
      </c>
      <c r="M232" s="274" t="s">
        <v>240</v>
      </c>
      <c r="N232" s="274" t="s">
        <v>241</v>
      </c>
      <c r="O232" s="274" t="s">
        <v>242</v>
      </c>
      <c r="P232" s="948" t="s">
        <v>164</v>
      </c>
      <c r="Q232" s="949"/>
    </row>
    <row r="233" spans="1:17">
      <c r="A233" s="57"/>
      <c r="B233" s="57"/>
      <c r="C233" s="57"/>
      <c r="D233" s="950" t="s">
        <v>419</v>
      </c>
      <c r="E233" s="950"/>
      <c r="F233" s="950"/>
      <c r="G233" s="950"/>
      <c r="H233" s="950"/>
      <c r="I233" s="271" t="s">
        <v>420</v>
      </c>
      <c r="J233" s="937" t="s">
        <v>421</v>
      </c>
      <c r="K233" s="937"/>
      <c r="L233" s="937"/>
      <c r="M233" s="937"/>
      <c r="N233" s="938" t="s">
        <v>422</v>
      </c>
      <c r="O233" s="938"/>
      <c r="P233" s="57"/>
      <c r="Q233" s="57"/>
    </row>
    <row r="234" spans="1:17" ht="45">
      <c r="A234" s="75"/>
      <c r="B234" s="65"/>
      <c r="C234" s="273" t="s">
        <v>451</v>
      </c>
      <c r="D234" s="303">
        <f>690000</f>
        <v>690000</v>
      </c>
      <c r="E234" s="303">
        <f t="shared" ref="E234:O234" si="60">690000</f>
        <v>690000</v>
      </c>
      <c r="F234" s="303">
        <f t="shared" si="60"/>
        <v>690000</v>
      </c>
      <c r="G234" s="303">
        <f t="shared" si="60"/>
        <v>690000</v>
      </c>
      <c r="H234" s="303">
        <f t="shared" si="60"/>
        <v>690000</v>
      </c>
      <c r="I234" s="303">
        <f t="shared" si="60"/>
        <v>690000</v>
      </c>
      <c r="J234" s="303">
        <f t="shared" si="60"/>
        <v>690000</v>
      </c>
      <c r="K234" s="303">
        <f t="shared" si="60"/>
        <v>690000</v>
      </c>
      <c r="L234" s="303">
        <f t="shared" si="60"/>
        <v>690000</v>
      </c>
      <c r="M234" s="303">
        <f t="shared" si="60"/>
        <v>690000</v>
      </c>
      <c r="N234" s="303">
        <f t="shared" si="60"/>
        <v>690000</v>
      </c>
      <c r="O234" s="303">
        <f t="shared" si="60"/>
        <v>690000</v>
      </c>
      <c r="P234" s="272" t="s">
        <v>452</v>
      </c>
      <c r="Q234" s="272"/>
    </row>
    <row r="235" spans="1:17" ht="15" customHeight="1">
      <c r="A235" s="75"/>
      <c r="B235" s="65"/>
      <c r="C235" s="128" t="s">
        <v>456</v>
      </c>
      <c r="D235" s="303">
        <f>19000</f>
        <v>19000</v>
      </c>
      <c r="E235" s="303">
        <f>19000*8</f>
        <v>152000</v>
      </c>
      <c r="F235" s="303">
        <f>19000*8</f>
        <v>152000</v>
      </c>
      <c r="G235" s="303">
        <f>19000*8</f>
        <v>152000</v>
      </c>
      <c r="H235" s="127">
        <f>29000*8</f>
        <v>232000</v>
      </c>
      <c r="I235" s="127">
        <f>29000*8</f>
        <v>232000</v>
      </c>
      <c r="J235" s="127">
        <f>39000*8</f>
        <v>312000</v>
      </c>
      <c r="K235" s="127">
        <f>39000*8</f>
        <v>312000</v>
      </c>
      <c r="L235" s="127">
        <f>45900*8</f>
        <v>367200</v>
      </c>
      <c r="M235" s="127">
        <f>45900*8</f>
        <v>367200</v>
      </c>
      <c r="N235" s="127">
        <f>45900*8</f>
        <v>367200</v>
      </c>
      <c r="O235" s="127">
        <f>59000*8</f>
        <v>472000</v>
      </c>
      <c r="P235" s="272" t="s">
        <v>453</v>
      </c>
      <c r="Q235" s="272"/>
    </row>
    <row r="236" spans="1:17" ht="15" customHeight="1" thickBot="1">
      <c r="A236" s="939" t="s">
        <v>454</v>
      </c>
      <c r="B236" s="940"/>
      <c r="C236" s="940"/>
      <c r="D236" s="121">
        <f t="shared" ref="D236:O236" si="61">SUM(D234:D235)</f>
        <v>709000</v>
      </c>
      <c r="E236" s="121">
        <f t="shared" si="61"/>
        <v>842000</v>
      </c>
      <c r="F236" s="121">
        <f t="shared" si="61"/>
        <v>842000</v>
      </c>
      <c r="G236" s="121">
        <f t="shared" si="61"/>
        <v>842000</v>
      </c>
      <c r="H236" s="121">
        <f t="shared" si="61"/>
        <v>922000</v>
      </c>
      <c r="I236" s="121">
        <f t="shared" si="61"/>
        <v>922000</v>
      </c>
      <c r="J236" s="121">
        <f t="shared" si="61"/>
        <v>1002000</v>
      </c>
      <c r="K236" s="121">
        <f t="shared" si="61"/>
        <v>1002000</v>
      </c>
      <c r="L236" s="121">
        <f t="shared" si="61"/>
        <v>1057200</v>
      </c>
      <c r="M236" s="121">
        <f t="shared" si="61"/>
        <v>1057200</v>
      </c>
      <c r="N236" s="121">
        <f t="shared" si="61"/>
        <v>1057200</v>
      </c>
      <c r="O236" s="121">
        <f t="shared" si="61"/>
        <v>1162000</v>
      </c>
      <c r="P236" s="971"/>
      <c r="Q236" s="966"/>
    </row>
    <row r="237" spans="1:17" ht="15.75" thickBot="1"/>
    <row r="238" spans="1:17">
      <c r="A238" s="941" t="s">
        <v>54</v>
      </c>
      <c r="B238" s="930"/>
      <c r="C238" s="930"/>
      <c r="D238" s="930"/>
      <c r="E238" s="930"/>
      <c r="F238" s="930"/>
      <c r="G238" s="930"/>
      <c r="H238" s="930"/>
      <c r="I238" s="930"/>
      <c r="J238" s="930"/>
      <c r="K238" s="930"/>
      <c r="L238" s="930"/>
      <c r="M238" s="930"/>
      <c r="N238" s="930"/>
      <c r="O238" s="930"/>
      <c r="P238" s="930"/>
      <c r="Q238" s="942"/>
    </row>
    <row r="239" spans="1:17">
      <c r="A239" s="943"/>
      <c r="B239" s="944"/>
      <c r="C239" s="944"/>
      <c r="D239" s="944"/>
      <c r="E239" s="944"/>
      <c r="F239" s="944"/>
      <c r="G239" s="944"/>
      <c r="H239" s="944"/>
      <c r="I239" s="944"/>
      <c r="J239" s="944"/>
      <c r="K239" s="944"/>
      <c r="L239" s="944"/>
      <c r="M239" s="944"/>
      <c r="N239" s="944"/>
      <c r="O239" s="944"/>
      <c r="P239" s="944"/>
      <c r="Q239" s="945"/>
    </row>
    <row r="240" spans="1:17">
      <c r="A240" s="946" t="s">
        <v>31</v>
      </c>
      <c r="B240" s="947"/>
      <c r="C240" s="947"/>
      <c r="D240" s="274" t="s">
        <v>0</v>
      </c>
      <c r="E240" s="274" t="s">
        <v>1</v>
      </c>
      <c r="F240" s="274" t="s">
        <v>2</v>
      </c>
      <c r="G240" s="274" t="s">
        <v>3</v>
      </c>
      <c r="H240" s="274" t="s">
        <v>4</v>
      </c>
      <c r="I240" s="274" t="s">
        <v>5</v>
      </c>
      <c r="J240" s="274" t="s">
        <v>6</v>
      </c>
      <c r="K240" s="274" t="s">
        <v>7</v>
      </c>
      <c r="L240" s="274" t="s">
        <v>8</v>
      </c>
      <c r="M240" s="274" t="s">
        <v>240</v>
      </c>
      <c r="N240" s="274" t="s">
        <v>241</v>
      </c>
      <c r="O240" s="274" t="s">
        <v>242</v>
      </c>
      <c r="P240" s="948" t="s">
        <v>164</v>
      </c>
      <c r="Q240" s="949"/>
    </row>
    <row r="241" spans="1:17" ht="15" customHeight="1">
      <c r="A241" s="57"/>
      <c r="B241" s="57"/>
      <c r="C241" s="57"/>
      <c r="D241" s="950" t="s">
        <v>419</v>
      </c>
      <c r="E241" s="950"/>
      <c r="F241" s="950"/>
      <c r="G241" s="950"/>
      <c r="H241" s="950"/>
      <c r="I241" s="271" t="s">
        <v>420</v>
      </c>
      <c r="J241" s="937" t="s">
        <v>421</v>
      </c>
      <c r="K241" s="937"/>
      <c r="L241" s="937"/>
      <c r="M241" s="937"/>
      <c r="N241" s="938" t="s">
        <v>422</v>
      </c>
      <c r="O241" s="938"/>
      <c r="P241" s="57"/>
      <c r="Q241" s="57"/>
    </row>
    <row r="242" spans="1:17">
      <c r="A242" s="75"/>
      <c r="B242" s="65"/>
      <c r="C242" s="273" t="s">
        <v>451</v>
      </c>
      <c r="D242" s="303">
        <f t="shared" ref="D242:O242" si="62">290000</f>
        <v>290000</v>
      </c>
      <c r="E242" s="303">
        <f t="shared" si="62"/>
        <v>290000</v>
      </c>
      <c r="F242" s="303">
        <f t="shared" si="62"/>
        <v>290000</v>
      </c>
      <c r="G242" s="303">
        <f t="shared" si="62"/>
        <v>290000</v>
      </c>
      <c r="H242" s="303">
        <f t="shared" si="62"/>
        <v>290000</v>
      </c>
      <c r="I242" s="303">
        <f t="shared" si="62"/>
        <v>290000</v>
      </c>
      <c r="J242" s="303">
        <f t="shared" si="62"/>
        <v>290000</v>
      </c>
      <c r="K242" s="303">
        <f t="shared" si="62"/>
        <v>290000</v>
      </c>
      <c r="L242" s="303">
        <f t="shared" si="62"/>
        <v>290000</v>
      </c>
      <c r="M242" s="303">
        <f t="shared" si="62"/>
        <v>290000</v>
      </c>
      <c r="N242" s="303">
        <f t="shared" si="62"/>
        <v>290000</v>
      </c>
      <c r="O242" s="303">
        <f t="shared" si="62"/>
        <v>290000</v>
      </c>
      <c r="P242" s="970" t="s">
        <v>452</v>
      </c>
      <c r="Q242" s="970"/>
    </row>
    <row r="243" spans="1:17">
      <c r="A243" s="75"/>
      <c r="B243" s="65"/>
      <c r="C243" s="128" t="s">
        <v>456</v>
      </c>
      <c r="D243" s="303">
        <f>12000*8</f>
        <v>96000</v>
      </c>
      <c r="E243" s="303">
        <f t="shared" ref="E243:G243" si="63">12000*8</f>
        <v>96000</v>
      </c>
      <c r="F243" s="303">
        <f t="shared" si="63"/>
        <v>96000</v>
      </c>
      <c r="G243" s="303">
        <f t="shared" si="63"/>
        <v>96000</v>
      </c>
      <c r="H243" s="303">
        <f>15000*8</f>
        <v>120000</v>
      </c>
      <c r="I243" s="303">
        <f t="shared" ref="I243:N243" si="64">15000*8</f>
        <v>120000</v>
      </c>
      <c r="J243" s="303">
        <f t="shared" si="64"/>
        <v>120000</v>
      </c>
      <c r="K243" s="303">
        <f t="shared" si="64"/>
        <v>120000</v>
      </c>
      <c r="L243" s="303">
        <f t="shared" si="64"/>
        <v>120000</v>
      </c>
      <c r="M243" s="303">
        <f t="shared" si="64"/>
        <v>120000</v>
      </c>
      <c r="N243" s="303">
        <f t="shared" si="64"/>
        <v>120000</v>
      </c>
      <c r="O243" s="303">
        <f>15000*8</f>
        <v>120000</v>
      </c>
      <c r="P243" s="970" t="s">
        <v>453</v>
      </c>
      <c r="Q243" s="970"/>
    </row>
    <row r="244" spans="1:17" ht="15.75" thickBot="1">
      <c r="A244" s="939" t="s">
        <v>455</v>
      </c>
      <c r="B244" s="940"/>
      <c r="C244" s="940"/>
      <c r="D244" s="121">
        <f t="shared" ref="D244:O244" si="65">SUM(D242:D243)</f>
        <v>386000</v>
      </c>
      <c r="E244" s="121">
        <f t="shared" si="65"/>
        <v>386000</v>
      </c>
      <c r="F244" s="121">
        <f t="shared" si="65"/>
        <v>386000</v>
      </c>
      <c r="G244" s="121">
        <f t="shared" si="65"/>
        <v>386000</v>
      </c>
      <c r="H244" s="121">
        <f t="shared" si="65"/>
        <v>410000</v>
      </c>
      <c r="I244" s="121">
        <f t="shared" si="65"/>
        <v>410000</v>
      </c>
      <c r="J244" s="121">
        <f t="shared" si="65"/>
        <v>410000</v>
      </c>
      <c r="K244" s="121">
        <f t="shared" si="65"/>
        <v>410000</v>
      </c>
      <c r="L244" s="121">
        <f t="shared" si="65"/>
        <v>410000</v>
      </c>
      <c r="M244" s="121">
        <f t="shared" si="65"/>
        <v>410000</v>
      </c>
      <c r="N244" s="121">
        <f t="shared" si="65"/>
        <v>410000</v>
      </c>
      <c r="O244" s="121">
        <f t="shared" si="65"/>
        <v>410000</v>
      </c>
      <c r="P244" s="971"/>
      <c r="Q244" s="966"/>
    </row>
    <row r="245" spans="1:17" ht="15.75" thickBot="1"/>
    <row r="246" spans="1:17">
      <c r="A246" s="941" t="s">
        <v>458</v>
      </c>
      <c r="B246" s="930"/>
      <c r="C246" s="930"/>
      <c r="D246" s="930"/>
      <c r="E246" s="930"/>
      <c r="F246" s="930"/>
      <c r="G246" s="930"/>
      <c r="H246" s="930"/>
      <c r="I246" s="930"/>
      <c r="J246" s="930"/>
      <c r="K246" s="930"/>
      <c r="L246" s="930"/>
      <c r="M246" s="930"/>
      <c r="N246" s="930"/>
      <c r="O246" s="930"/>
      <c r="P246" s="930"/>
      <c r="Q246" s="942"/>
    </row>
    <row r="247" spans="1:17" ht="15" customHeight="1">
      <c r="A247" s="943"/>
      <c r="B247" s="944"/>
      <c r="C247" s="944"/>
      <c r="D247" s="944"/>
      <c r="E247" s="944"/>
      <c r="F247" s="944"/>
      <c r="G247" s="944"/>
      <c r="H247" s="944"/>
      <c r="I247" s="944"/>
      <c r="J247" s="944"/>
      <c r="K247" s="944"/>
      <c r="L247" s="944"/>
      <c r="M247" s="944"/>
      <c r="N247" s="944"/>
      <c r="O247" s="944"/>
      <c r="P247" s="944"/>
      <c r="Q247" s="945"/>
    </row>
    <row r="248" spans="1:17">
      <c r="A248" s="946" t="s">
        <v>31</v>
      </c>
      <c r="B248" s="947"/>
      <c r="C248" s="947"/>
      <c r="D248" s="274" t="s">
        <v>0</v>
      </c>
      <c r="E248" s="274" t="s">
        <v>1</v>
      </c>
      <c r="F248" s="274" t="s">
        <v>2</v>
      </c>
      <c r="G248" s="274" t="s">
        <v>3</v>
      </c>
      <c r="H248" s="274" t="s">
        <v>4</v>
      </c>
      <c r="I248" s="274" t="s">
        <v>5</v>
      </c>
      <c r="J248" s="274" t="s">
        <v>6</v>
      </c>
      <c r="K248" s="274" t="s">
        <v>7</v>
      </c>
      <c r="L248" s="274" t="s">
        <v>8</v>
      </c>
      <c r="M248" s="274" t="s">
        <v>240</v>
      </c>
      <c r="N248" s="274" t="s">
        <v>241</v>
      </c>
      <c r="O248" s="274" t="s">
        <v>242</v>
      </c>
      <c r="P248" s="920" t="s">
        <v>164</v>
      </c>
      <c r="Q248" s="995"/>
    </row>
    <row r="249" spans="1:17" ht="15" customHeight="1">
      <c r="A249" s="62"/>
      <c r="B249" s="5"/>
      <c r="C249" s="5"/>
      <c r="D249" s="950" t="s">
        <v>419</v>
      </c>
      <c r="E249" s="950"/>
      <c r="F249" s="950"/>
      <c r="G249" s="950"/>
      <c r="H249" s="950"/>
      <c r="I249" s="271" t="s">
        <v>420</v>
      </c>
      <c r="J249" s="937" t="s">
        <v>421</v>
      </c>
      <c r="K249" s="937"/>
      <c r="L249" s="937"/>
      <c r="M249" s="937"/>
      <c r="N249" s="938" t="s">
        <v>422</v>
      </c>
      <c r="O249" s="938"/>
      <c r="P249" s="1017"/>
      <c r="Q249" s="1018"/>
    </row>
    <row r="250" spans="1:17" ht="15" customHeight="1">
      <c r="A250" s="75"/>
      <c r="B250" s="65"/>
      <c r="C250" s="273" t="s">
        <v>540</v>
      </c>
      <c r="D250" s="303">
        <f>D263</f>
        <v>0</v>
      </c>
      <c r="E250" s="303">
        <f t="shared" ref="E250" si="66">E263</f>
        <v>0</v>
      </c>
      <c r="F250" s="616" t="s">
        <v>317</v>
      </c>
      <c r="G250" s="616" t="s">
        <v>317</v>
      </c>
      <c r="H250" s="616" t="s">
        <v>317</v>
      </c>
      <c r="I250" s="616" t="s">
        <v>317</v>
      </c>
      <c r="J250" s="616" t="s">
        <v>317</v>
      </c>
      <c r="K250" s="616" t="s">
        <v>317</v>
      </c>
      <c r="L250" s="616" t="s">
        <v>317</v>
      </c>
      <c r="M250" s="616" t="s">
        <v>317</v>
      </c>
      <c r="N250" s="616" t="s">
        <v>317</v>
      </c>
      <c r="O250" s="616" t="s">
        <v>317</v>
      </c>
      <c r="P250" s="970"/>
      <c r="Q250" s="979"/>
    </row>
    <row r="251" spans="1:17" s="57" customFormat="1" ht="15" customHeight="1">
      <c r="A251" s="75"/>
      <c r="B251" s="65"/>
      <c r="C251" s="273" t="s">
        <v>471</v>
      </c>
      <c r="D251" s="303">
        <f>D273/1.09</f>
        <v>618354.58715596329</v>
      </c>
      <c r="E251" s="303">
        <f t="shared" ref="E251" si="67">E273</f>
        <v>0</v>
      </c>
      <c r="F251" s="303">
        <f t="shared" ref="F251:O251" si="68">F273/1.09</f>
        <v>1225450.9174311925</v>
      </c>
      <c r="G251" s="303">
        <f t="shared" si="68"/>
        <v>1555024.3119266054</v>
      </c>
      <c r="H251" s="303">
        <f t="shared" si="68"/>
        <v>2052262.8440366972</v>
      </c>
      <c r="I251" s="303">
        <f t="shared" si="68"/>
        <v>2659359.1743119266</v>
      </c>
      <c r="J251" s="303">
        <f t="shared" si="68"/>
        <v>2879074.7706422014</v>
      </c>
      <c r="K251" s="303">
        <f t="shared" si="68"/>
        <v>3486171.1009174315</v>
      </c>
      <c r="L251" s="303">
        <f t="shared" si="68"/>
        <v>3705886.6972477064</v>
      </c>
      <c r="M251" s="303">
        <f t="shared" si="68"/>
        <v>4312983.0275229355</v>
      </c>
      <c r="N251" s="303">
        <f t="shared" si="68"/>
        <v>4810221.5596330268</v>
      </c>
      <c r="O251" s="303">
        <f t="shared" si="68"/>
        <v>5637033.4862385318</v>
      </c>
      <c r="P251" s="1019"/>
      <c r="Q251" s="1020"/>
    </row>
    <row r="252" spans="1:17" ht="15" customHeight="1">
      <c r="A252" s="75"/>
      <c r="B252" s="65"/>
      <c r="C252" s="273" t="s">
        <v>472</v>
      </c>
      <c r="D252" s="303">
        <f>D282</f>
        <v>0</v>
      </c>
      <c r="E252" s="303">
        <f t="shared" ref="E252" si="69">E282</f>
        <v>0</v>
      </c>
      <c r="F252" s="616" t="s">
        <v>317</v>
      </c>
      <c r="G252" s="616" t="s">
        <v>317</v>
      </c>
      <c r="H252" s="616" t="s">
        <v>317</v>
      </c>
      <c r="I252" s="616" t="s">
        <v>317</v>
      </c>
      <c r="J252" s="616" t="s">
        <v>317</v>
      </c>
      <c r="K252" s="616" t="s">
        <v>317</v>
      </c>
      <c r="L252" s="616" t="s">
        <v>317</v>
      </c>
      <c r="M252" s="616" t="s">
        <v>317</v>
      </c>
      <c r="N252" s="616" t="s">
        <v>317</v>
      </c>
      <c r="O252" s="616" t="s">
        <v>317</v>
      </c>
      <c r="P252" s="970"/>
      <c r="Q252" s="979"/>
    </row>
    <row r="253" spans="1:17" ht="15" customHeight="1" thickBot="1">
      <c r="A253" s="939" t="s">
        <v>459</v>
      </c>
      <c r="B253" s="940"/>
      <c r="C253" s="940"/>
      <c r="D253" s="121">
        <f>SUM(D250:D252)</f>
        <v>618354.58715596329</v>
      </c>
      <c r="E253" s="121">
        <f>D253</f>
        <v>618354.58715596329</v>
      </c>
      <c r="F253" s="121">
        <f t="shared" ref="F253:O253" si="70">SUM(F250:F252)</f>
        <v>1225450.9174311925</v>
      </c>
      <c r="G253" s="121">
        <f t="shared" si="70"/>
        <v>1555024.3119266054</v>
      </c>
      <c r="H253" s="121">
        <f t="shared" si="70"/>
        <v>2052262.8440366972</v>
      </c>
      <c r="I253" s="121">
        <f t="shared" si="70"/>
        <v>2659359.1743119266</v>
      </c>
      <c r="J253" s="121">
        <f t="shared" si="70"/>
        <v>2879074.7706422014</v>
      </c>
      <c r="K253" s="121">
        <f t="shared" si="70"/>
        <v>3486171.1009174315</v>
      </c>
      <c r="L253" s="121">
        <f t="shared" si="70"/>
        <v>3705886.6972477064</v>
      </c>
      <c r="M253" s="121">
        <f t="shared" si="70"/>
        <v>4312983.0275229355</v>
      </c>
      <c r="N253" s="121">
        <f t="shared" si="70"/>
        <v>4810221.5596330268</v>
      </c>
      <c r="O253" s="121">
        <f t="shared" si="70"/>
        <v>5637033.4862385318</v>
      </c>
      <c r="P253" s="971"/>
      <c r="Q253" s="966"/>
    </row>
    <row r="254" spans="1:17">
      <c r="A254" s="6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63"/>
    </row>
    <row r="255" spans="1:17">
      <c r="A255" s="62"/>
      <c r="B255" s="5"/>
      <c r="C255" s="305" t="s">
        <v>463</v>
      </c>
      <c r="D255" s="269" t="s">
        <v>0</v>
      </c>
      <c r="E255" s="269" t="s">
        <v>1</v>
      </c>
      <c r="F255" s="269" t="s">
        <v>2</v>
      </c>
      <c r="G255" s="269" t="s">
        <v>3</v>
      </c>
      <c r="H255" s="269" t="s">
        <v>4</v>
      </c>
      <c r="I255" s="269" t="s">
        <v>5</v>
      </c>
      <c r="J255" s="269" t="s">
        <v>6</v>
      </c>
      <c r="K255" s="269" t="s">
        <v>7</v>
      </c>
      <c r="L255" s="269" t="s">
        <v>8</v>
      </c>
      <c r="M255" s="269" t="s">
        <v>240</v>
      </c>
      <c r="N255" s="269" t="s">
        <v>241</v>
      </c>
      <c r="O255" s="269" t="s">
        <v>242</v>
      </c>
      <c r="P255" s="948" t="s">
        <v>164</v>
      </c>
      <c r="Q255" s="949"/>
    </row>
    <row r="256" spans="1:17">
      <c r="A256" s="62"/>
      <c r="B256" s="5"/>
      <c r="C256" s="39" t="s">
        <v>460</v>
      </c>
      <c r="D256" s="266">
        <v>0</v>
      </c>
      <c r="E256" s="266">
        <v>0</v>
      </c>
      <c r="F256" s="266">
        <v>4</v>
      </c>
      <c r="G256" s="266">
        <v>6</v>
      </c>
      <c r="H256" s="266">
        <v>8</v>
      </c>
      <c r="I256" s="266">
        <v>10</v>
      </c>
      <c r="J256" s="266">
        <v>13</v>
      </c>
      <c r="K256" s="266">
        <v>15</v>
      </c>
      <c r="L256" s="266">
        <v>17</v>
      </c>
      <c r="M256" s="266">
        <v>19</v>
      </c>
      <c r="N256" s="266">
        <v>21</v>
      </c>
      <c r="O256" s="266">
        <v>25</v>
      </c>
      <c r="P256" s="58" t="s">
        <v>465</v>
      </c>
      <c r="Q256" s="308"/>
    </row>
    <row r="257" spans="1:17">
      <c r="A257" s="62"/>
      <c r="B257" s="5"/>
      <c r="C257" s="39" t="s">
        <v>461</v>
      </c>
      <c r="D257" s="266">
        <v>0</v>
      </c>
      <c r="E257" s="266">
        <v>0</v>
      </c>
      <c r="F257" s="266">
        <v>3</v>
      </c>
      <c r="G257" s="266">
        <v>4</v>
      </c>
      <c r="H257" s="266">
        <v>5</v>
      </c>
      <c r="I257" s="266">
        <v>7</v>
      </c>
      <c r="J257" s="266">
        <v>8</v>
      </c>
      <c r="K257" s="266">
        <v>9</v>
      </c>
      <c r="L257" s="266">
        <v>10</v>
      </c>
      <c r="M257" s="266">
        <v>12</v>
      </c>
      <c r="N257" s="266">
        <v>13</v>
      </c>
      <c r="O257" s="266">
        <v>15</v>
      </c>
      <c r="P257" s="58" t="s">
        <v>465</v>
      </c>
      <c r="Q257" s="308"/>
    </row>
    <row r="258" spans="1:17" ht="16.5" customHeight="1">
      <c r="A258" s="62"/>
      <c r="B258" s="5"/>
      <c r="C258" s="39" t="s">
        <v>462</v>
      </c>
      <c r="D258" s="266">
        <v>0</v>
      </c>
      <c r="E258" s="266">
        <v>0</v>
      </c>
      <c r="F258" s="266">
        <v>1</v>
      </c>
      <c r="G258" s="266">
        <v>1</v>
      </c>
      <c r="H258" s="266">
        <v>1</v>
      </c>
      <c r="I258" s="266">
        <v>1</v>
      </c>
      <c r="J258" s="266">
        <v>1</v>
      </c>
      <c r="K258" s="266">
        <v>1</v>
      </c>
      <c r="L258" s="266">
        <v>1</v>
      </c>
      <c r="M258" s="266">
        <v>1</v>
      </c>
      <c r="N258" s="266">
        <v>1</v>
      </c>
      <c r="O258" s="266">
        <v>1</v>
      </c>
      <c r="P258" s="58" t="s">
        <v>465</v>
      </c>
      <c r="Q258" s="308"/>
    </row>
    <row r="259" spans="1:17" ht="15.75">
      <c r="A259" s="62"/>
      <c r="B259" s="5"/>
      <c r="C259" s="39" t="s">
        <v>473</v>
      </c>
      <c r="D259" s="5"/>
      <c r="E259" s="304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63"/>
    </row>
    <row r="260" spans="1:17">
      <c r="A260" s="62"/>
      <c r="B260" s="5"/>
      <c r="C260" s="39" t="s">
        <v>460</v>
      </c>
      <c r="D260" s="36">
        <f t="shared" ref="D260:O260" si="71">$D$284*D256</f>
        <v>0</v>
      </c>
      <c r="E260" s="36">
        <f t="shared" si="71"/>
        <v>0</v>
      </c>
      <c r="F260" s="36">
        <f t="shared" si="71"/>
        <v>478980.00000000006</v>
      </c>
      <c r="G260" s="36">
        <f t="shared" si="71"/>
        <v>718470.00000000012</v>
      </c>
      <c r="H260" s="36">
        <f t="shared" si="71"/>
        <v>957960.00000000012</v>
      </c>
      <c r="I260" s="36">
        <f t="shared" si="71"/>
        <v>1197450.0000000002</v>
      </c>
      <c r="J260" s="36">
        <f t="shared" si="71"/>
        <v>1556685.0000000002</v>
      </c>
      <c r="K260" s="36">
        <f t="shared" si="71"/>
        <v>1796175.0000000002</v>
      </c>
      <c r="L260" s="36">
        <f t="shared" si="71"/>
        <v>2035665.0000000002</v>
      </c>
      <c r="M260" s="36">
        <f t="shared" si="71"/>
        <v>2275155.0000000005</v>
      </c>
      <c r="N260" s="36">
        <f t="shared" si="71"/>
        <v>2514645.0000000005</v>
      </c>
      <c r="O260" s="36">
        <f t="shared" si="71"/>
        <v>2993625.0000000005</v>
      </c>
      <c r="P260" s="5"/>
      <c r="Q260" s="63"/>
    </row>
    <row r="261" spans="1:17">
      <c r="A261" s="62"/>
      <c r="B261" s="5"/>
      <c r="C261" s="39" t="s">
        <v>461</v>
      </c>
      <c r="D261" s="36">
        <f t="shared" ref="D261:O261" si="72">$D$285*D257</f>
        <v>0</v>
      </c>
      <c r="E261" s="36">
        <f t="shared" si="72"/>
        <v>0</v>
      </c>
      <c r="F261" s="36">
        <f t="shared" si="72"/>
        <v>396049.5</v>
      </c>
      <c r="G261" s="36">
        <f t="shared" si="72"/>
        <v>528066</v>
      </c>
      <c r="H261" s="36">
        <f t="shared" si="72"/>
        <v>660082.5</v>
      </c>
      <c r="I261" s="36">
        <f t="shared" si="72"/>
        <v>924115.5</v>
      </c>
      <c r="J261" s="36">
        <f t="shared" si="72"/>
        <v>1056132</v>
      </c>
      <c r="K261" s="36">
        <f t="shared" si="72"/>
        <v>1188148.5</v>
      </c>
      <c r="L261" s="36">
        <f t="shared" si="72"/>
        <v>1320165</v>
      </c>
      <c r="M261" s="36">
        <f t="shared" si="72"/>
        <v>1584198</v>
      </c>
      <c r="N261" s="36">
        <f t="shared" si="72"/>
        <v>1716214.5</v>
      </c>
      <c r="O261" s="36">
        <f t="shared" si="72"/>
        <v>1980247.5</v>
      </c>
      <c r="P261" s="5"/>
      <c r="Q261" s="63"/>
    </row>
    <row r="262" spans="1:17">
      <c r="A262" s="62"/>
      <c r="B262" s="5"/>
      <c r="C262" s="39" t="s">
        <v>462</v>
      </c>
      <c r="D262" s="36">
        <f t="shared" ref="D262:O262" si="73">$D$286*D258</f>
        <v>0</v>
      </c>
      <c r="E262" s="36">
        <f t="shared" si="73"/>
        <v>0</v>
      </c>
      <c r="F262" s="36">
        <f t="shared" si="73"/>
        <v>302500</v>
      </c>
      <c r="G262" s="36">
        <f t="shared" si="73"/>
        <v>302500</v>
      </c>
      <c r="H262" s="36">
        <f t="shared" si="73"/>
        <v>302500</v>
      </c>
      <c r="I262" s="36">
        <f t="shared" si="73"/>
        <v>302500</v>
      </c>
      <c r="J262" s="36">
        <f t="shared" si="73"/>
        <v>302500</v>
      </c>
      <c r="K262" s="36">
        <f t="shared" si="73"/>
        <v>302500</v>
      </c>
      <c r="L262" s="36">
        <f t="shared" si="73"/>
        <v>302500</v>
      </c>
      <c r="M262" s="36">
        <f t="shared" si="73"/>
        <v>302500</v>
      </c>
      <c r="N262" s="36">
        <f t="shared" si="73"/>
        <v>302500</v>
      </c>
      <c r="O262" s="36">
        <f t="shared" si="73"/>
        <v>302500</v>
      </c>
      <c r="P262" s="5"/>
      <c r="Q262" s="63"/>
    </row>
    <row r="263" spans="1:17">
      <c r="A263" s="62"/>
      <c r="B263" s="5"/>
      <c r="C263" s="39" t="s">
        <v>171</v>
      </c>
      <c r="D263" s="36">
        <f>SUM(D260:D262)</f>
        <v>0</v>
      </c>
      <c r="E263" s="36">
        <f t="shared" ref="E263:O263" si="74">SUM(E260:E262)</f>
        <v>0</v>
      </c>
      <c r="F263" s="36">
        <f t="shared" si="74"/>
        <v>1177529.5</v>
      </c>
      <c r="G263" s="36">
        <f t="shared" si="74"/>
        <v>1549036</v>
      </c>
      <c r="H263" s="36">
        <f t="shared" si="74"/>
        <v>1920542.5</v>
      </c>
      <c r="I263" s="36">
        <f t="shared" si="74"/>
        <v>2424065.5</v>
      </c>
      <c r="J263" s="36">
        <f t="shared" si="74"/>
        <v>2915317</v>
      </c>
      <c r="K263" s="36">
        <f t="shared" si="74"/>
        <v>3286823.5</v>
      </c>
      <c r="L263" s="36">
        <f t="shared" si="74"/>
        <v>3658330</v>
      </c>
      <c r="M263" s="36">
        <f t="shared" si="74"/>
        <v>4161853.0000000005</v>
      </c>
      <c r="N263" s="36">
        <f t="shared" si="74"/>
        <v>4533359.5</v>
      </c>
      <c r="O263" s="36">
        <f t="shared" si="74"/>
        <v>5276372.5</v>
      </c>
      <c r="P263" s="5"/>
      <c r="Q263" s="63"/>
    </row>
    <row r="264" spans="1:17">
      <c r="A264" s="6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63"/>
    </row>
    <row r="265" spans="1:17">
      <c r="A265" s="62"/>
      <c r="B265" s="5"/>
      <c r="C265" s="306" t="s">
        <v>464</v>
      </c>
      <c r="D265" s="269" t="s">
        <v>0</v>
      </c>
      <c r="E265" s="269" t="s">
        <v>1</v>
      </c>
      <c r="F265" s="269" t="s">
        <v>2</v>
      </c>
      <c r="G265" s="269" t="s">
        <v>3</v>
      </c>
      <c r="H265" s="269" t="s">
        <v>4</v>
      </c>
      <c r="I265" s="269" t="s">
        <v>5</v>
      </c>
      <c r="J265" s="269" t="s">
        <v>6</v>
      </c>
      <c r="K265" s="269" t="s">
        <v>7</v>
      </c>
      <c r="L265" s="269" t="s">
        <v>8</v>
      </c>
      <c r="M265" s="269" t="s">
        <v>240</v>
      </c>
      <c r="N265" s="269" t="s">
        <v>241</v>
      </c>
      <c r="O265" s="269" t="s">
        <v>242</v>
      </c>
      <c r="P265" s="948" t="s">
        <v>164</v>
      </c>
      <c r="Q265" s="949"/>
    </row>
    <row r="266" spans="1:17">
      <c r="A266" s="62"/>
      <c r="B266" s="5"/>
      <c r="C266" s="39" t="s">
        <v>460</v>
      </c>
      <c r="D266" s="266">
        <v>2</v>
      </c>
      <c r="E266" s="266">
        <v>0</v>
      </c>
      <c r="F266" s="266">
        <v>5</v>
      </c>
      <c r="G266" s="266">
        <v>8</v>
      </c>
      <c r="H266" s="266">
        <v>10</v>
      </c>
      <c r="I266" s="266">
        <v>13</v>
      </c>
      <c r="J266" s="266">
        <v>15</v>
      </c>
      <c r="K266" s="266">
        <v>18</v>
      </c>
      <c r="L266" s="266">
        <v>20</v>
      </c>
      <c r="M266" s="266">
        <v>23</v>
      </c>
      <c r="N266" s="266">
        <v>25</v>
      </c>
      <c r="O266" s="266">
        <v>30</v>
      </c>
      <c r="P266" s="58" t="s">
        <v>466</v>
      </c>
      <c r="Q266" s="308"/>
    </row>
    <row r="267" spans="1:17">
      <c r="A267" s="62"/>
      <c r="B267" s="5"/>
      <c r="C267" s="39" t="s">
        <v>462</v>
      </c>
      <c r="D267" s="266">
        <v>1</v>
      </c>
      <c r="E267" s="266">
        <v>0</v>
      </c>
      <c r="F267" s="266">
        <v>1</v>
      </c>
      <c r="G267" s="266">
        <v>1</v>
      </c>
      <c r="H267" s="266">
        <v>1</v>
      </c>
      <c r="I267" s="266">
        <v>1</v>
      </c>
      <c r="J267" s="266">
        <v>1</v>
      </c>
      <c r="K267" s="266">
        <v>1</v>
      </c>
      <c r="L267" s="266">
        <v>1</v>
      </c>
      <c r="M267" s="266">
        <v>1</v>
      </c>
      <c r="N267" s="266">
        <v>1</v>
      </c>
      <c r="O267" s="266">
        <v>1</v>
      </c>
      <c r="P267" s="58" t="s">
        <v>466</v>
      </c>
      <c r="Q267" s="308"/>
    </row>
    <row r="268" spans="1:17">
      <c r="A268" s="62"/>
      <c r="B268" s="5"/>
      <c r="C268" s="39" t="s">
        <v>467</v>
      </c>
      <c r="D268" s="266">
        <v>1</v>
      </c>
      <c r="E268" s="266">
        <v>0</v>
      </c>
      <c r="F268" s="266">
        <v>2</v>
      </c>
      <c r="G268" s="266">
        <v>2</v>
      </c>
      <c r="H268" s="266">
        <v>3</v>
      </c>
      <c r="I268" s="266">
        <v>4</v>
      </c>
      <c r="J268" s="266">
        <v>4</v>
      </c>
      <c r="K268" s="266">
        <v>5</v>
      </c>
      <c r="L268" s="266">
        <v>5</v>
      </c>
      <c r="M268" s="266">
        <v>6</v>
      </c>
      <c r="N268" s="266">
        <v>7</v>
      </c>
      <c r="O268" s="266">
        <v>8</v>
      </c>
      <c r="P268" s="58" t="s">
        <v>466</v>
      </c>
      <c r="Q268" s="308"/>
    </row>
    <row r="269" spans="1:17" ht="15.75">
      <c r="A269" s="62"/>
      <c r="B269" s="5"/>
      <c r="C269" s="39" t="s">
        <v>473</v>
      </c>
      <c r="D269" s="5"/>
      <c r="E269" s="304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63"/>
    </row>
    <row r="270" spans="1:17">
      <c r="A270" s="62"/>
      <c r="B270" s="5"/>
      <c r="C270" s="39" t="s">
        <v>460</v>
      </c>
      <c r="D270" s="36">
        <f t="shared" ref="D270:O270" si="75">$D$284*D266</f>
        <v>239490.00000000003</v>
      </c>
      <c r="E270" s="36">
        <f t="shared" si="75"/>
        <v>0</v>
      </c>
      <c r="F270" s="36">
        <f t="shared" si="75"/>
        <v>598725.00000000012</v>
      </c>
      <c r="G270" s="36">
        <f t="shared" si="75"/>
        <v>957960.00000000012</v>
      </c>
      <c r="H270" s="36">
        <f t="shared" si="75"/>
        <v>1197450.0000000002</v>
      </c>
      <c r="I270" s="36">
        <f t="shared" si="75"/>
        <v>1556685.0000000002</v>
      </c>
      <c r="J270" s="36">
        <f t="shared" si="75"/>
        <v>1796175.0000000002</v>
      </c>
      <c r="K270" s="36">
        <f t="shared" si="75"/>
        <v>2155410.0000000005</v>
      </c>
      <c r="L270" s="36">
        <f t="shared" si="75"/>
        <v>2394900.0000000005</v>
      </c>
      <c r="M270" s="36">
        <f t="shared" si="75"/>
        <v>2754135.0000000005</v>
      </c>
      <c r="N270" s="36">
        <f t="shared" si="75"/>
        <v>2993625.0000000005</v>
      </c>
      <c r="O270" s="36">
        <f t="shared" si="75"/>
        <v>3592350.0000000005</v>
      </c>
      <c r="P270" s="5"/>
      <c r="Q270" s="63"/>
    </row>
    <row r="271" spans="1:17">
      <c r="A271" s="62"/>
      <c r="B271" s="5"/>
      <c r="C271" s="39" t="s">
        <v>461</v>
      </c>
      <c r="D271" s="36">
        <f t="shared" ref="D271:O271" si="76">$D$285*D267</f>
        <v>132016.5</v>
      </c>
      <c r="E271" s="36">
        <f t="shared" si="76"/>
        <v>0</v>
      </c>
      <c r="F271" s="36">
        <f t="shared" si="76"/>
        <v>132016.5</v>
      </c>
      <c r="G271" s="36">
        <f t="shared" si="76"/>
        <v>132016.5</v>
      </c>
      <c r="H271" s="36">
        <f t="shared" si="76"/>
        <v>132016.5</v>
      </c>
      <c r="I271" s="36">
        <f t="shared" si="76"/>
        <v>132016.5</v>
      </c>
      <c r="J271" s="36">
        <f t="shared" si="76"/>
        <v>132016.5</v>
      </c>
      <c r="K271" s="36">
        <f t="shared" si="76"/>
        <v>132016.5</v>
      </c>
      <c r="L271" s="36">
        <f t="shared" si="76"/>
        <v>132016.5</v>
      </c>
      <c r="M271" s="36">
        <f t="shared" si="76"/>
        <v>132016.5</v>
      </c>
      <c r="N271" s="36">
        <f t="shared" si="76"/>
        <v>132016.5</v>
      </c>
      <c r="O271" s="36">
        <f t="shared" si="76"/>
        <v>132016.5</v>
      </c>
      <c r="P271" s="5"/>
      <c r="Q271" s="63"/>
    </row>
    <row r="272" spans="1:17">
      <c r="A272" s="62"/>
      <c r="B272" s="5"/>
      <c r="C272" s="39" t="s">
        <v>462</v>
      </c>
      <c r="D272" s="36">
        <f t="shared" ref="D272:O272" si="77">$D$286*D268</f>
        <v>302500</v>
      </c>
      <c r="E272" s="36">
        <f t="shared" si="77"/>
        <v>0</v>
      </c>
      <c r="F272" s="36">
        <f t="shared" si="77"/>
        <v>605000</v>
      </c>
      <c r="G272" s="36">
        <f t="shared" si="77"/>
        <v>605000</v>
      </c>
      <c r="H272" s="36">
        <f t="shared" si="77"/>
        <v>907500</v>
      </c>
      <c r="I272" s="36">
        <f t="shared" si="77"/>
        <v>1210000</v>
      </c>
      <c r="J272" s="36">
        <f t="shared" si="77"/>
        <v>1210000</v>
      </c>
      <c r="K272" s="36">
        <f t="shared" si="77"/>
        <v>1512500</v>
      </c>
      <c r="L272" s="36">
        <f t="shared" si="77"/>
        <v>1512500</v>
      </c>
      <c r="M272" s="36">
        <f t="shared" si="77"/>
        <v>1815000</v>
      </c>
      <c r="N272" s="36">
        <f t="shared" si="77"/>
        <v>2117500</v>
      </c>
      <c r="O272" s="36">
        <f t="shared" si="77"/>
        <v>2420000</v>
      </c>
      <c r="P272" s="5"/>
      <c r="Q272" s="63"/>
    </row>
    <row r="273" spans="1:17">
      <c r="A273" s="62"/>
      <c r="B273" s="5"/>
      <c r="C273" s="39" t="s">
        <v>171</v>
      </c>
      <c r="D273" s="307">
        <f>SUM(D270:D272)</f>
        <v>674006.5</v>
      </c>
      <c r="E273" s="307">
        <f t="shared" ref="E273" si="78">SUM(E270:E272)</f>
        <v>0</v>
      </c>
      <c r="F273" s="307">
        <f t="shared" ref="F273" si="79">SUM(F270:F272)</f>
        <v>1335741.5</v>
      </c>
      <c r="G273" s="307">
        <f t="shared" ref="G273" si="80">SUM(G270:G272)</f>
        <v>1694976.5</v>
      </c>
      <c r="H273" s="307">
        <f t="shared" ref="H273" si="81">SUM(H270:H272)</f>
        <v>2236966.5</v>
      </c>
      <c r="I273" s="307">
        <f t="shared" ref="I273" si="82">SUM(I270:I272)</f>
        <v>2898701.5</v>
      </c>
      <c r="J273" s="307">
        <f t="shared" ref="J273" si="83">SUM(J270:J272)</f>
        <v>3138191.5</v>
      </c>
      <c r="K273" s="307">
        <f t="shared" ref="K273" si="84">SUM(K270:K272)</f>
        <v>3799926.5000000005</v>
      </c>
      <c r="L273" s="307">
        <f t="shared" ref="L273" si="85">SUM(L270:L272)</f>
        <v>4039416.5000000005</v>
      </c>
      <c r="M273" s="307">
        <f t="shared" ref="M273" si="86">SUM(M270:M272)</f>
        <v>4701151.5</v>
      </c>
      <c r="N273" s="307">
        <f t="shared" ref="N273" si="87">SUM(N270:N272)</f>
        <v>5243141.5</v>
      </c>
      <c r="O273" s="307">
        <f t="shared" ref="O273" si="88">SUM(O270:O272)</f>
        <v>6144366.5</v>
      </c>
      <c r="P273" s="5"/>
      <c r="Q273" s="63"/>
    </row>
    <row r="274" spans="1:17">
      <c r="A274" s="6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63"/>
    </row>
    <row r="275" spans="1:17">
      <c r="A275" s="6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63"/>
    </row>
    <row r="276" spans="1:17">
      <c r="A276" s="62"/>
      <c r="B276" s="5"/>
      <c r="C276" s="306" t="s">
        <v>468</v>
      </c>
      <c r="D276" s="269" t="s">
        <v>0</v>
      </c>
      <c r="E276" s="269" t="s">
        <v>1</v>
      </c>
      <c r="F276" s="269" t="s">
        <v>2</v>
      </c>
      <c r="G276" s="269" t="s">
        <v>3</v>
      </c>
      <c r="H276" s="269" t="s">
        <v>4</v>
      </c>
      <c r="I276" s="269" t="s">
        <v>5</v>
      </c>
      <c r="J276" s="269" t="s">
        <v>6</v>
      </c>
      <c r="K276" s="269" t="s">
        <v>7</v>
      </c>
      <c r="L276" s="269" t="s">
        <v>8</v>
      </c>
      <c r="M276" s="269" t="s">
        <v>240</v>
      </c>
      <c r="N276" s="269" t="s">
        <v>241</v>
      </c>
      <c r="O276" s="269" t="s">
        <v>242</v>
      </c>
      <c r="P276" s="948" t="s">
        <v>164</v>
      </c>
      <c r="Q276" s="949"/>
    </row>
    <row r="277" spans="1:17">
      <c r="A277" s="62"/>
      <c r="B277" s="5"/>
      <c r="C277" s="39" t="s">
        <v>469</v>
      </c>
      <c r="D277" s="266">
        <v>0</v>
      </c>
      <c r="E277" s="266">
        <v>0</v>
      </c>
      <c r="F277" s="266">
        <v>2</v>
      </c>
      <c r="G277" s="266">
        <v>3</v>
      </c>
      <c r="H277" s="266">
        <v>3</v>
      </c>
      <c r="I277" s="266">
        <v>4</v>
      </c>
      <c r="J277" s="266">
        <v>4</v>
      </c>
      <c r="K277" s="266">
        <v>5</v>
      </c>
      <c r="L277" s="266">
        <v>5</v>
      </c>
      <c r="M277" s="266">
        <v>5</v>
      </c>
      <c r="N277" s="266">
        <v>8</v>
      </c>
      <c r="O277" s="266">
        <v>8</v>
      </c>
      <c r="P277" s="58" t="s">
        <v>470</v>
      </c>
      <c r="Q277" s="308"/>
    </row>
    <row r="278" spans="1:17">
      <c r="A278" s="62"/>
      <c r="B278" s="5"/>
      <c r="C278" s="39" t="s">
        <v>462</v>
      </c>
      <c r="D278" s="266">
        <v>0</v>
      </c>
      <c r="E278" s="266">
        <v>0</v>
      </c>
      <c r="F278" s="266">
        <v>1</v>
      </c>
      <c r="G278" s="266">
        <v>1</v>
      </c>
      <c r="H278" s="266">
        <v>1</v>
      </c>
      <c r="I278" s="266">
        <v>1</v>
      </c>
      <c r="J278" s="266">
        <v>1</v>
      </c>
      <c r="K278" s="266">
        <v>1</v>
      </c>
      <c r="L278" s="266">
        <v>1</v>
      </c>
      <c r="M278" s="266">
        <v>1</v>
      </c>
      <c r="N278" s="266">
        <v>1</v>
      </c>
      <c r="O278" s="266">
        <v>1</v>
      </c>
      <c r="P278" s="58" t="s">
        <v>470</v>
      </c>
      <c r="Q278" s="308"/>
    </row>
    <row r="279" spans="1:17" ht="15.75">
      <c r="A279" s="62"/>
      <c r="B279" s="5"/>
      <c r="C279" s="39" t="s">
        <v>473</v>
      </c>
      <c r="D279" s="5"/>
      <c r="E279" s="304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63"/>
    </row>
    <row r="280" spans="1:17">
      <c r="A280" s="62"/>
      <c r="B280" s="5"/>
      <c r="C280" s="39" t="s">
        <v>469</v>
      </c>
      <c r="D280" s="36">
        <f>$D$284*D277</f>
        <v>0</v>
      </c>
      <c r="E280" s="36">
        <f t="shared" ref="E280:O280" si="89">$D$284*E277</f>
        <v>0</v>
      </c>
      <c r="F280" s="36">
        <f t="shared" si="89"/>
        <v>239490.00000000003</v>
      </c>
      <c r="G280" s="36">
        <f t="shared" si="89"/>
        <v>359235.00000000006</v>
      </c>
      <c r="H280" s="36">
        <f t="shared" si="89"/>
        <v>359235.00000000006</v>
      </c>
      <c r="I280" s="36">
        <f t="shared" si="89"/>
        <v>478980.00000000006</v>
      </c>
      <c r="J280" s="36">
        <f t="shared" si="89"/>
        <v>478980.00000000006</v>
      </c>
      <c r="K280" s="36">
        <f t="shared" si="89"/>
        <v>598725.00000000012</v>
      </c>
      <c r="L280" s="36">
        <f t="shared" si="89"/>
        <v>598725.00000000012</v>
      </c>
      <c r="M280" s="36">
        <f t="shared" si="89"/>
        <v>598725.00000000012</v>
      </c>
      <c r="N280" s="36">
        <f t="shared" si="89"/>
        <v>957960.00000000012</v>
      </c>
      <c r="O280" s="36">
        <f t="shared" si="89"/>
        <v>957960.00000000012</v>
      </c>
      <c r="P280" s="5"/>
      <c r="Q280" s="63"/>
    </row>
    <row r="281" spans="1:17">
      <c r="A281" s="62"/>
      <c r="B281" s="5"/>
      <c r="C281" s="39" t="s">
        <v>462</v>
      </c>
      <c r="D281" s="36">
        <f>$D$286*D278</f>
        <v>0</v>
      </c>
      <c r="E281" s="36">
        <f t="shared" ref="E281:O281" si="90">$D$286*E278</f>
        <v>0</v>
      </c>
      <c r="F281" s="36">
        <f t="shared" si="90"/>
        <v>302500</v>
      </c>
      <c r="G281" s="36">
        <f t="shared" si="90"/>
        <v>302500</v>
      </c>
      <c r="H281" s="36">
        <f t="shared" si="90"/>
        <v>302500</v>
      </c>
      <c r="I281" s="36">
        <f t="shared" si="90"/>
        <v>302500</v>
      </c>
      <c r="J281" s="36">
        <f t="shared" si="90"/>
        <v>302500</v>
      </c>
      <c r="K281" s="36">
        <f t="shared" si="90"/>
        <v>302500</v>
      </c>
      <c r="L281" s="36">
        <f t="shared" si="90"/>
        <v>302500</v>
      </c>
      <c r="M281" s="36">
        <f t="shared" si="90"/>
        <v>302500</v>
      </c>
      <c r="N281" s="36">
        <f t="shared" si="90"/>
        <v>302500</v>
      </c>
      <c r="O281" s="36">
        <f t="shared" si="90"/>
        <v>302500</v>
      </c>
      <c r="P281" s="5"/>
      <c r="Q281" s="63"/>
    </row>
    <row r="282" spans="1:17">
      <c r="A282" s="62"/>
      <c r="B282" s="5"/>
      <c r="C282" s="39" t="s">
        <v>171</v>
      </c>
      <c r="D282" s="307">
        <f t="shared" ref="D282:O282" si="91">SUM(D280:D281)</f>
        <v>0</v>
      </c>
      <c r="E282" s="307">
        <f t="shared" si="91"/>
        <v>0</v>
      </c>
      <c r="F282" s="307">
        <f t="shared" si="91"/>
        <v>541990</v>
      </c>
      <c r="G282" s="307">
        <f t="shared" si="91"/>
        <v>661735</v>
      </c>
      <c r="H282" s="307">
        <f t="shared" si="91"/>
        <v>661735</v>
      </c>
      <c r="I282" s="307">
        <f t="shared" si="91"/>
        <v>781480</v>
      </c>
      <c r="J282" s="307">
        <f t="shared" si="91"/>
        <v>781480</v>
      </c>
      <c r="K282" s="307">
        <f t="shared" si="91"/>
        <v>901225.00000000012</v>
      </c>
      <c r="L282" s="307">
        <f t="shared" si="91"/>
        <v>901225.00000000012</v>
      </c>
      <c r="M282" s="307">
        <f t="shared" si="91"/>
        <v>901225.00000000012</v>
      </c>
      <c r="N282" s="307">
        <f t="shared" si="91"/>
        <v>1260460</v>
      </c>
      <c r="O282" s="307">
        <f t="shared" si="91"/>
        <v>1260460</v>
      </c>
      <c r="P282" s="5"/>
      <c r="Q282" s="63"/>
    </row>
    <row r="283" spans="1:17">
      <c r="A283" s="6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63"/>
    </row>
    <row r="284" spans="1:17">
      <c r="A284" s="62"/>
      <c r="B284" s="5"/>
      <c r="C284" s="3" t="s">
        <v>460</v>
      </c>
      <c r="D284" s="42">
        <f>44350*2.7</f>
        <v>119745.00000000001</v>
      </c>
      <c r="E284" s="5" t="s">
        <v>537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63"/>
    </row>
    <row r="285" spans="1:17">
      <c r="A285" s="62"/>
      <c r="B285" s="5"/>
      <c r="C285" s="3" t="s">
        <v>461</v>
      </c>
      <c r="D285" s="42">
        <f>48895*2.7</f>
        <v>132016.5</v>
      </c>
      <c r="E285" s="5" t="s">
        <v>538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63"/>
    </row>
    <row r="286" spans="1:17">
      <c r="A286" s="62"/>
      <c r="B286" s="5"/>
      <c r="C286" s="3" t="s">
        <v>462</v>
      </c>
      <c r="D286" s="42">
        <v>302500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63"/>
    </row>
    <row r="287" spans="1:17" ht="15.75" thickBot="1">
      <c r="A287" s="309"/>
      <c r="B287" s="310"/>
      <c r="C287" s="31" t="s">
        <v>467</v>
      </c>
      <c r="D287" s="42">
        <f>62500*15.2</f>
        <v>950000</v>
      </c>
      <c r="E287" s="310"/>
      <c r="F287" s="310"/>
      <c r="G287" s="310"/>
      <c r="H287" s="310"/>
      <c r="I287" s="310"/>
      <c r="J287" s="310"/>
      <c r="K287" s="310"/>
      <c r="L287" s="310"/>
      <c r="M287" s="310"/>
      <c r="N287" s="310"/>
      <c r="O287" s="310"/>
      <c r="P287" s="310"/>
      <c r="Q287" s="311"/>
    </row>
    <row r="288" spans="1:17" ht="15.75" thickBot="1"/>
    <row r="289" spans="1:17" ht="15" customHeight="1">
      <c r="A289" s="941" t="s">
        <v>477</v>
      </c>
      <c r="B289" s="930"/>
      <c r="C289" s="930"/>
      <c r="D289" s="930"/>
      <c r="E289" s="930"/>
      <c r="F289" s="930"/>
      <c r="G289" s="930"/>
      <c r="H289" s="930"/>
      <c r="I289" s="930"/>
      <c r="J289" s="930"/>
      <c r="K289" s="930"/>
      <c r="L289" s="930"/>
      <c r="M289" s="930"/>
      <c r="N289" s="942"/>
      <c r="O289" s="334"/>
      <c r="P289" s="334"/>
      <c r="Q289" s="334"/>
    </row>
    <row r="290" spans="1:17" ht="15" customHeight="1">
      <c r="A290" s="982"/>
      <c r="B290" s="983"/>
      <c r="C290" s="983"/>
      <c r="D290" s="983"/>
      <c r="E290" s="983"/>
      <c r="F290" s="983"/>
      <c r="G290" s="983"/>
      <c r="H290" s="983"/>
      <c r="I290" s="983"/>
      <c r="J290" s="983"/>
      <c r="K290" s="983"/>
      <c r="L290" s="983"/>
      <c r="M290" s="983"/>
      <c r="N290" s="984"/>
      <c r="O290" s="334"/>
      <c r="P290" s="334"/>
      <c r="Q290" s="334"/>
    </row>
    <row r="291" spans="1:17">
      <c r="A291" s="126"/>
      <c r="B291" s="60"/>
      <c r="C291" s="275"/>
      <c r="D291" s="269" t="s">
        <v>0</v>
      </c>
      <c r="E291" s="269" t="s">
        <v>1</v>
      </c>
      <c r="F291" s="269" t="s">
        <v>2</v>
      </c>
      <c r="G291" s="269" t="s">
        <v>3</v>
      </c>
      <c r="H291" s="269" t="s">
        <v>4</v>
      </c>
      <c r="I291" s="269" t="s">
        <v>5</v>
      </c>
      <c r="J291" s="269" t="s">
        <v>6</v>
      </c>
      <c r="K291" s="269" t="s">
        <v>7</v>
      </c>
      <c r="L291" s="269" t="s">
        <v>8</v>
      </c>
      <c r="M291" s="269" t="s">
        <v>240</v>
      </c>
      <c r="N291" s="270" t="s">
        <v>241</v>
      </c>
      <c r="O291" s="5"/>
      <c r="P291" s="5"/>
      <c r="Q291" s="5"/>
    </row>
    <row r="292" spans="1:17" ht="15.75" thickBot="1">
      <c r="A292" s="335"/>
      <c r="B292" s="336"/>
      <c r="C292" s="276" t="s">
        <v>476</v>
      </c>
      <c r="D292" s="337">
        <v>4217414.659291652</v>
      </c>
      <c r="E292" s="337">
        <v>4757429.6865158202</v>
      </c>
      <c r="F292" s="337">
        <v>7114743.1902305735</v>
      </c>
      <c r="G292" s="337">
        <v>12676205.139310943</v>
      </c>
      <c r="H292" s="337">
        <v>16440492.426507341</v>
      </c>
      <c r="I292" s="337">
        <v>22799763.735678777</v>
      </c>
      <c r="J292" s="337">
        <v>30051597.513303947</v>
      </c>
      <c r="K292" s="337">
        <v>65752096.686653003</v>
      </c>
      <c r="L292" s="337">
        <v>89628145.029979497</v>
      </c>
      <c r="M292" s="337"/>
      <c r="N292" s="338"/>
      <c r="O292" s="5"/>
      <c r="P292" s="5"/>
      <c r="Q292" s="5"/>
    </row>
    <row r="293" spans="1:17" ht="15.75" thickBot="1"/>
    <row r="294" spans="1:17" ht="18">
      <c r="C294" s="985" t="s">
        <v>487</v>
      </c>
      <c r="D294" s="986"/>
      <c r="E294" s="986"/>
      <c r="F294" s="986"/>
      <c r="G294" s="986"/>
      <c r="H294" s="986"/>
      <c r="I294" s="986"/>
      <c r="J294" s="986"/>
      <c r="K294" s="366"/>
      <c r="L294" s="367"/>
      <c r="M294" s="367"/>
      <c r="N294" s="368"/>
      <c r="O294" s="342"/>
    </row>
    <row r="295" spans="1:17">
      <c r="C295" s="357"/>
      <c r="D295" s="959" t="s">
        <v>480</v>
      </c>
      <c r="E295" s="960"/>
      <c r="F295" s="960"/>
      <c r="G295" s="960"/>
      <c r="H295" s="960"/>
      <c r="I295" s="960"/>
      <c r="J295" s="961"/>
      <c r="K295" s="369"/>
      <c r="L295" s="370"/>
      <c r="M295" s="370"/>
      <c r="N295" s="371"/>
      <c r="O295" s="57"/>
    </row>
    <row r="296" spans="1:17" ht="22.5">
      <c r="C296" s="358" t="s">
        <v>481</v>
      </c>
      <c r="D296" s="344">
        <v>2</v>
      </c>
      <c r="E296" s="344">
        <v>3</v>
      </c>
      <c r="F296" s="344">
        <v>4</v>
      </c>
      <c r="G296" s="344">
        <v>6</v>
      </c>
      <c r="H296" s="344">
        <v>8</v>
      </c>
      <c r="I296" s="344">
        <v>10</v>
      </c>
      <c r="J296" s="353">
        <v>12</v>
      </c>
      <c r="K296" s="343" t="s">
        <v>482</v>
      </c>
      <c r="L296" s="343" t="s">
        <v>483</v>
      </c>
      <c r="M296" s="343" t="s">
        <v>484</v>
      </c>
      <c r="N296" s="359" t="s">
        <v>485</v>
      </c>
    </row>
    <row r="297" spans="1:17">
      <c r="C297" s="360">
        <v>2</v>
      </c>
      <c r="D297" s="345">
        <v>9.7484665624999991</v>
      </c>
      <c r="E297" s="345" t="s">
        <v>486</v>
      </c>
      <c r="F297" s="345" t="s">
        <v>486</v>
      </c>
      <c r="G297" s="345" t="s">
        <v>486</v>
      </c>
      <c r="H297" s="345" t="s">
        <v>486</v>
      </c>
      <c r="I297" s="345" t="s">
        <v>486</v>
      </c>
      <c r="J297" s="354" t="s">
        <v>486</v>
      </c>
      <c r="K297" s="356">
        <v>2.375</v>
      </c>
      <c r="L297" s="347">
        <v>2.1603249999999998</v>
      </c>
      <c r="M297" s="347">
        <v>1.9</v>
      </c>
      <c r="N297" s="348">
        <v>2424426.5430000001</v>
      </c>
    </row>
    <row r="298" spans="1:17">
      <c r="C298" s="360">
        <v>3</v>
      </c>
      <c r="D298" s="345">
        <v>9.877411249999998</v>
      </c>
      <c r="E298" s="345">
        <v>9.877411249999998</v>
      </c>
      <c r="F298" s="345" t="s">
        <v>486</v>
      </c>
      <c r="G298" s="345" t="s">
        <v>486</v>
      </c>
      <c r="H298" s="345" t="s">
        <v>486</v>
      </c>
      <c r="I298" s="345" t="s">
        <v>486</v>
      </c>
      <c r="J298" s="354" t="s">
        <v>486</v>
      </c>
      <c r="K298" s="356">
        <v>3.5</v>
      </c>
      <c r="L298" s="347">
        <v>2.1888999999999998</v>
      </c>
      <c r="M298" s="347">
        <v>1.9</v>
      </c>
      <c r="N298" s="348">
        <v>2424426.5430000001</v>
      </c>
    </row>
    <row r="299" spans="1:17">
      <c r="C299" s="360">
        <v>4</v>
      </c>
      <c r="D299" s="345">
        <v>9.9920287500000011</v>
      </c>
      <c r="E299" s="345">
        <v>9.9920287500000011</v>
      </c>
      <c r="F299" s="345">
        <v>9.9920287500000011</v>
      </c>
      <c r="G299" s="345" t="s">
        <v>486</v>
      </c>
      <c r="H299" s="345" t="s">
        <v>486</v>
      </c>
      <c r="I299" s="345" t="s">
        <v>486</v>
      </c>
      <c r="J299" s="354" t="s">
        <v>486</v>
      </c>
      <c r="K299" s="356">
        <v>4.5</v>
      </c>
      <c r="L299" s="347">
        <v>2.2143000000000002</v>
      </c>
      <c r="M299" s="347">
        <v>1.9</v>
      </c>
      <c r="N299" s="348">
        <v>2424426.5430000001</v>
      </c>
    </row>
    <row r="300" spans="1:17">
      <c r="C300" s="360">
        <v>6</v>
      </c>
      <c r="D300" s="345">
        <v>16.331579999999999</v>
      </c>
      <c r="E300" s="345">
        <v>16.331579999999999</v>
      </c>
      <c r="F300" s="345">
        <v>16.331579999999999</v>
      </c>
      <c r="G300" s="345">
        <v>13.60965</v>
      </c>
      <c r="H300" s="345" t="s">
        <v>486</v>
      </c>
      <c r="I300" s="345" t="s">
        <v>486</v>
      </c>
      <c r="J300" s="354" t="s">
        <v>486</v>
      </c>
      <c r="K300" s="356">
        <v>6.625</v>
      </c>
      <c r="L300" s="347">
        <v>2.268275</v>
      </c>
      <c r="M300" s="347">
        <v>2.4</v>
      </c>
      <c r="N300" s="348">
        <v>3868337.088</v>
      </c>
    </row>
    <row r="301" spans="1:17">
      <c r="C301" s="360">
        <v>8</v>
      </c>
      <c r="D301" s="345">
        <v>16.697339999999997</v>
      </c>
      <c r="E301" s="345">
        <v>16.697339999999997</v>
      </c>
      <c r="F301" s="345">
        <v>16.697339999999997</v>
      </c>
      <c r="G301" s="345">
        <v>16.697339999999997</v>
      </c>
      <c r="H301" s="345">
        <v>16.697339999999997</v>
      </c>
      <c r="I301" s="345" t="s">
        <v>486</v>
      </c>
      <c r="J301" s="354" t="s">
        <v>486</v>
      </c>
      <c r="K301" s="356">
        <v>8.625</v>
      </c>
      <c r="L301" s="347">
        <v>2.3190749999999998</v>
      </c>
      <c r="M301" s="347">
        <v>2.4</v>
      </c>
      <c r="N301" s="348">
        <v>3868337.088</v>
      </c>
    </row>
    <row r="302" spans="1:17">
      <c r="C302" s="360">
        <v>10</v>
      </c>
      <c r="D302" s="345">
        <v>17.08596</v>
      </c>
      <c r="E302" s="345">
        <v>17.08596</v>
      </c>
      <c r="F302" s="345">
        <v>17.08596</v>
      </c>
      <c r="G302" s="345">
        <v>17.08596</v>
      </c>
      <c r="H302" s="345">
        <v>17.08596</v>
      </c>
      <c r="I302" s="345">
        <v>17.08596</v>
      </c>
      <c r="J302" s="355" t="s">
        <v>486</v>
      </c>
      <c r="K302" s="356">
        <v>10.75</v>
      </c>
      <c r="L302" s="347">
        <v>2.3730500000000001</v>
      </c>
      <c r="M302" s="347">
        <v>2.4</v>
      </c>
      <c r="N302" s="348">
        <v>3868337.088</v>
      </c>
    </row>
    <row r="303" spans="1:17">
      <c r="C303" s="361">
        <v>12</v>
      </c>
      <c r="D303" s="345">
        <v>17.451719999999998</v>
      </c>
      <c r="E303" s="345">
        <v>17.451719999999998</v>
      </c>
      <c r="F303" s="345">
        <v>17.451719999999998</v>
      </c>
      <c r="G303" s="345">
        <v>17.451719999999998</v>
      </c>
      <c r="H303" s="345">
        <v>17.451719999999998</v>
      </c>
      <c r="I303" s="345">
        <v>17.451719999999998</v>
      </c>
      <c r="J303" s="354">
        <v>17.451719999999998</v>
      </c>
      <c r="K303" s="356">
        <v>12.75</v>
      </c>
      <c r="L303" s="347">
        <v>2.4238499999999998</v>
      </c>
      <c r="M303" s="347">
        <v>2.4</v>
      </c>
      <c r="N303" s="348">
        <v>3868337.088</v>
      </c>
    </row>
    <row r="304" spans="1:17">
      <c r="C304" s="361">
        <v>18</v>
      </c>
      <c r="D304" s="345">
        <v>26.882565</v>
      </c>
      <c r="E304" s="345">
        <v>26.882565</v>
      </c>
      <c r="F304" s="345">
        <v>26.882565</v>
      </c>
      <c r="G304" s="345">
        <v>26.882565</v>
      </c>
      <c r="H304" s="345">
        <v>26.882565</v>
      </c>
      <c r="I304" s="345">
        <v>26.882565</v>
      </c>
      <c r="J304" s="354">
        <v>26.882565</v>
      </c>
      <c r="K304" s="356">
        <v>18</v>
      </c>
      <c r="L304" s="347">
        <v>2.5571999999999999</v>
      </c>
      <c r="M304" s="347">
        <v>2.9</v>
      </c>
      <c r="N304" s="348">
        <v>5648040.7830000008</v>
      </c>
    </row>
    <row r="305" spans="3:14">
      <c r="C305" s="361">
        <v>20</v>
      </c>
      <c r="D305" s="345">
        <v>27.416599999999999</v>
      </c>
      <c r="E305" s="345">
        <v>27.416599999999999</v>
      </c>
      <c r="F305" s="345">
        <v>27.416599999999999</v>
      </c>
      <c r="G305" s="345">
        <v>27.416599999999999</v>
      </c>
      <c r="H305" s="345">
        <v>27.416599999999999</v>
      </c>
      <c r="I305" s="345">
        <v>27.416599999999999</v>
      </c>
      <c r="J305" s="354">
        <v>27.416599999999999</v>
      </c>
      <c r="K305" s="356">
        <v>20</v>
      </c>
      <c r="L305" s="347">
        <v>2.6080000000000001</v>
      </c>
      <c r="M305" s="347">
        <v>2.9</v>
      </c>
      <c r="N305" s="348">
        <v>5648040.7830000008</v>
      </c>
    </row>
    <row r="306" spans="3:14">
      <c r="C306" s="361">
        <v>24</v>
      </c>
      <c r="D306" s="345">
        <v>28.484669999999998</v>
      </c>
      <c r="E306" s="345">
        <v>28.484669999999998</v>
      </c>
      <c r="F306" s="345">
        <v>28.484669999999998</v>
      </c>
      <c r="G306" s="345">
        <v>28.484669999999998</v>
      </c>
      <c r="H306" s="345">
        <v>28.484669999999998</v>
      </c>
      <c r="I306" s="345">
        <v>28.484669999999998</v>
      </c>
      <c r="J306" s="354">
        <v>28.484669999999998</v>
      </c>
      <c r="K306" s="356">
        <v>24</v>
      </c>
      <c r="L306" s="347">
        <v>2.7096</v>
      </c>
      <c r="M306" s="347">
        <v>2.9</v>
      </c>
      <c r="N306" s="348">
        <v>5648040.7830000008</v>
      </c>
    </row>
    <row r="307" spans="3:14" ht="15.75" thickBot="1">
      <c r="C307" s="362">
        <v>32</v>
      </c>
      <c r="D307" s="363">
        <v>30.620809999999999</v>
      </c>
      <c r="E307" s="363">
        <v>30.620809999999999</v>
      </c>
      <c r="F307" s="363">
        <v>30.620809999999999</v>
      </c>
      <c r="G307" s="363">
        <v>30.620809999999999</v>
      </c>
      <c r="H307" s="363">
        <v>30.620809999999999</v>
      </c>
      <c r="I307" s="363">
        <v>30.620809999999999</v>
      </c>
      <c r="J307" s="364">
        <v>30.620809999999999</v>
      </c>
      <c r="K307" s="365">
        <v>32</v>
      </c>
      <c r="L307" s="351">
        <v>2.9127999999999998</v>
      </c>
      <c r="M307" s="351">
        <v>2.9</v>
      </c>
      <c r="N307" s="352">
        <v>5648040.7830000008</v>
      </c>
    </row>
    <row r="308" spans="3:14" ht="15.75" thickBot="1"/>
    <row r="309" spans="3:14" ht="18">
      <c r="C309" s="1130" t="s">
        <v>488</v>
      </c>
      <c r="D309" s="1131"/>
      <c r="E309" s="1131"/>
      <c r="F309" s="1131"/>
      <c r="G309" s="1131"/>
      <c r="H309" s="1131"/>
      <c r="I309" s="1131"/>
      <c r="J309" s="1132"/>
      <c r="K309" s="341"/>
      <c r="L309" s="372"/>
      <c r="M309" s="372"/>
      <c r="N309" s="372"/>
    </row>
    <row r="310" spans="3:14" ht="15.75" thickBot="1">
      <c r="C310" s="375"/>
      <c r="D310" s="1133" t="s">
        <v>480</v>
      </c>
      <c r="E310" s="1133"/>
      <c r="F310" s="1133"/>
      <c r="G310" s="1133"/>
      <c r="H310" s="1133"/>
      <c r="I310" s="1133"/>
      <c r="J310" s="1134"/>
      <c r="K310" s="57"/>
      <c r="L310" s="373"/>
      <c r="M310" s="373"/>
      <c r="N310" s="57"/>
    </row>
    <row r="311" spans="3:14" ht="24">
      <c r="C311" s="376" t="s">
        <v>481</v>
      </c>
      <c r="D311" s="344">
        <v>2</v>
      </c>
      <c r="E311" s="344">
        <v>3</v>
      </c>
      <c r="F311" s="344">
        <v>4</v>
      </c>
      <c r="G311" s="344">
        <v>6</v>
      </c>
      <c r="H311" s="344">
        <v>8</v>
      </c>
      <c r="I311" s="344">
        <v>10</v>
      </c>
      <c r="J311" s="353">
        <v>12</v>
      </c>
      <c r="K311" s="380" t="s">
        <v>482</v>
      </c>
      <c r="L311" s="381" t="s">
        <v>489</v>
      </c>
      <c r="M311" s="382" t="s">
        <v>490</v>
      </c>
    </row>
    <row r="312" spans="3:14">
      <c r="C312" s="360">
        <v>2</v>
      </c>
      <c r="D312" s="345">
        <v>7.7987732499999991</v>
      </c>
      <c r="E312" s="345" t="s">
        <v>486</v>
      </c>
      <c r="F312" s="345" t="s">
        <v>486</v>
      </c>
      <c r="G312" s="345" t="s">
        <v>486</v>
      </c>
      <c r="H312" s="345" t="s">
        <v>486</v>
      </c>
      <c r="I312" s="345" t="s">
        <v>486</v>
      </c>
      <c r="J312" s="354" t="s">
        <v>486</v>
      </c>
      <c r="K312" s="346">
        <v>2.375</v>
      </c>
      <c r="L312" s="347">
        <v>3.61</v>
      </c>
      <c r="M312" s="377">
        <v>16.418469999999999</v>
      </c>
    </row>
    <row r="313" spans="3:14">
      <c r="C313" s="360">
        <v>3</v>
      </c>
      <c r="D313" s="345">
        <v>7.9019289999999991</v>
      </c>
      <c r="E313" s="345">
        <v>7.9019289999999991</v>
      </c>
      <c r="F313" s="345" t="s">
        <v>486</v>
      </c>
      <c r="G313" s="345" t="s">
        <v>486</v>
      </c>
      <c r="H313" s="345" t="s">
        <v>486</v>
      </c>
      <c r="I313" s="345" t="s">
        <v>486</v>
      </c>
      <c r="J313" s="354" t="s">
        <v>486</v>
      </c>
      <c r="K313" s="346">
        <v>3.5</v>
      </c>
      <c r="L313" s="347">
        <v>3.61</v>
      </c>
      <c r="M313" s="377">
        <v>16.635639999999999</v>
      </c>
    </row>
    <row r="314" spans="3:14">
      <c r="C314" s="360">
        <v>4</v>
      </c>
      <c r="D314" s="345">
        <v>7.9936230000000004</v>
      </c>
      <c r="E314" s="345">
        <v>7.9936230000000004</v>
      </c>
      <c r="F314" s="345">
        <v>7.9936230000000004</v>
      </c>
      <c r="G314" s="345" t="s">
        <v>486</v>
      </c>
      <c r="H314" s="345" t="s">
        <v>486</v>
      </c>
      <c r="I314" s="345" t="s">
        <v>486</v>
      </c>
      <c r="J314" s="354" t="s">
        <v>486</v>
      </c>
      <c r="K314" s="346">
        <v>4.5</v>
      </c>
      <c r="L314" s="347">
        <v>3.61</v>
      </c>
      <c r="M314" s="377">
        <v>16.828680000000002</v>
      </c>
    </row>
    <row r="315" spans="3:14">
      <c r="C315" s="360">
        <v>6</v>
      </c>
      <c r="D315" s="345">
        <v>13.065263999999999</v>
      </c>
      <c r="E315" s="345">
        <v>13.065263999999999</v>
      </c>
      <c r="F315" s="345">
        <v>13.065263999999999</v>
      </c>
      <c r="G315" s="345">
        <v>13.065263999999999</v>
      </c>
      <c r="H315" s="345" t="s">
        <v>486</v>
      </c>
      <c r="I315" s="345" t="s">
        <v>486</v>
      </c>
      <c r="J315" s="354" t="s">
        <v>486</v>
      </c>
      <c r="K315" s="346">
        <v>6.625</v>
      </c>
      <c r="L315" s="347">
        <v>5.76</v>
      </c>
      <c r="M315" s="377">
        <v>21.77544</v>
      </c>
    </row>
    <row r="316" spans="3:14">
      <c r="C316" s="360">
        <v>8</v>
      </c>
      <c r="D316" s="345">
        <v>13.357871999999999</v>
      </c>
      <c r="E316" s="345">
        <v>13.357871999999999</v>
      </c>
      <c r="F316" s="345">
        <v>13.357871999999999</v>
      </c>
      <c r="G316" s="345">
        <v>13.357871999999999</v>
      </c>
      <c r="H316" s="345">
        <v>13.357871999999999</v>
      </c>
      <c r="I316" s="345" t="s">
        <v>486</v>
      </c>
      <c r="J316" s="354" t="s">
        <v>486</v>
      </c>
      <c r="K316" s="346">
        <v>8.625</v>
      </c>
      <c r="L316" s="347">
        <v>5.76</v>
      </c>
      <c r="M316" s="377">
        <v>22.263119999999997</v>
      </c>
    </row>
    <row r="317" spans="3:14">
      <c r="C317" s="360">
        <v>10</v>
      </c>
      <c r="D317" s="345">
        <v>13.668768</v>
      </c>
      <c r="E317" s="345">
        <v>13.668768</v>
      </c>
      <c r="F317" s="345">
        <v>13.668768</v>
      </c>
      <c r="G317" s="345">
        <v>13.668768</v>
      </c>
      <c r="H317" s="345">
        <v>13.668768</v>
      </c>
      <c r="I317" s="349">
        <v>13.668768</v>
      </c>
      <c r="J317" s="355" t="s">
        <v>486</v>
      </c>
      <c r="K317" s="346">
        <v>10.75</v>
      </c>
      <c r="L317" s="347">
        <v>5.76</v>
      </c>
      <c r="M317" s="377">
        <v>22.781279999999999</v>
      </c>
    </row>
    <row r="318" spans="3:14">
      <c r="C318" s="361">
        <v>12</v>
      </c>
      <c r="D318" s="345">
        <v>13.961375999999998</v>
      </c>
      <c r="E318" s="345">
        <v>13.961375999999998</v>
      </c>
      <c r="F318" s="345">
        <v>13.961375999999998</v>
      </c>
      <c r="G318" s="345">
        <v>13.961375999999998</v>
      </c>
      <c r="H318" s="345">
        <v>13.961375999999998</v>
      </c>
      <c r="I318" s="349">
        <v>13.961375999999998</v>
      </c>
      <c r="J318" s="355">
        <v>13.961375999999998</v>
      </c>
      <c r="K318" s="346">
        <v>12.75</v>
      </c>
      <c r="L318" s="347">
        <v>5.76</v>
      </c>
      <c r="M318" s="377">
        <v>23.268959999999996</v>
      </c>
    </row>
    <row r="319" spans="3:14">
      <c r="C319" s="361">
        <v>18</v>
      </c>
      <c r="D319" s="345">
        <v>21.506052</v>
      </c>
      <c r="E319" s="345">
        <v>21.506052</v>
      </c>
      <c r="F319" s="345">
        <v>21.506052</v>
      </c>
      <c r="G319" s="345">
        <v>21.506052</v>
      </c>
      <c r="H319" s="345">
        <v>21.506052</v>
      </c>
      <c r="I319" s="349">
        <v>21.506052</v>
      </c>
      <c r="J319" s="355">
        <v>21.506052</v>
      </c>
      <c r="K319" s="346">
        <v>18</v>
      </c>
      <c r="L319" s="347">
        <v>8.41</v>
      </c>
      <c r="M319" s="377">
        <v>29.663519999999998</v>
      </c>
    </row>
    <row r="320" spans="3:14">
      <c r="C320" s="361">
        <v>20</v>
      </c>
      <c r="D320" s="345">
        <v>21.93328</v>
      </c>
      <c r="E320" s="345">
        <v>21.93328</v>
      </c>
      <c r="F320" s="345">
        <v>21.93328</v>
      </c>
      <c r="G320" s="345">
        <v>21.93328</v>
      </c>
      <c r="H320" s="345">
        <v>21.93328</v>
      </c>
      <c r="I320" s="349">
        <v>21.93328</v>
      </c>
      <c r="J320" s="355">
        <v>21.93328</v>
      </c>
      <c r="K320" s="346">
        <v>20</v>
      </c>
      <c r="L320" s="347">
        <v>8.41</v>
      </c>
      <c r="M320" s="377">
        <v>30.252800000000001</v>
      </c>
    </row>
    <row r="321" spans="1:17">
      <c r="C321" s="361">
        <v>24</v>
      </c>
      <c r="D321" s="345">
        <v>22.787735999999999</v>
      </c>
      <c r="E321" s="345">
        <v>22.787735999999999</v>
      </c>
      <c r="F321" s="345">
        <v>22.787735999999999</v>
      </c>
      <c r="G321" s="345">
        <v>22.787735999999999</v>
      </c>
      <c r="H321" s="345">
        <v>22.787735999999999</v>
      </c>
      <c r="I321" s="349">
        <v>22.787735999999999</v>
      </c>
      <c r="J321" s="355">
        <v>22.787735999999999</v>
      </c>
      <c r="K321" s="346">
        <v>24</v>
      </c>
      <c r="L321" s="347">
        <v>8.41</v>
      </c>
      <c r="M321" s="377">
        <v>31.431359999999998</v>
      </c>
    </row>
    <row r="322" spans="1:17" ht="15.75" thickBot="1">
      <c r="C322" s="362">
        <v>32</v>
      </c>
      <c r="D322" s="363">
        <v>24.496648</v>
      </c>
      <c r="E322" s="363">
        <v>24.496648</v>
      </c>
      <c r="F322" s="363">
        <v>24.496648</v>
      </c>
      <c r="G322" s="363">
        <v>24.496648</v>
      </c>
      <c r="H322" s="363">
        <v>24.496648</v>
      </c>
      <c r="I322" s="374">
        <v>24.496648</v>
      </c>
      <c r="J322" s="379">
        <v>24.496648</v>
      </c>
      <c r="K322" s="350">
        <v>32</v>
      </c>
      <c r="L322" s="351">
        <v>8.41</v>
      </c>
      <c r="M322" s="378">
        <v>33.78848</v>
      </c>
    </row>
    <row r="323" spans="1:17" ht="15.75" thickBot="1">
      <c r="C323" s="5"/>
      <c r="D323" s="5"/>
      <c r="E323" s="5"/>
      <c r="F323" s="5"/>
      <c r="G323" s="5"/>
      <c r="H323" s="5"/>
      <c r="I323" s="5"/>
      <c r="J323" s="57"/>
      <c r="K323" s="57"/>
      <c r="L323" s="57"/>
      <c r="M323" s="57"/>
      <c r="N323" s="57"/>
    </row>
    <row r="324" spans="1:17">
      <c r="C324" s="383"/>
      <c r="D324" s="384"/>
      <c r="E324" s="385" t="s">
        <v>491</v>
      </c>
      <c r="F324" s="384"/>
      <c r="G324" s="384"/>
      <c r="H324" s="385" t="s">
        <v>491</v>
      </c>
      <c r="I324" s="384"/>
      <c r="J324" s="384"/>
      <c r="K324" s="385" t="s">
        <v>491</v>
      </c>
      <c r="L324" s="384"/>
      <c r="M324" s="384"/>
      <c r="N324" s="386" t="s">
        <v>491</v>
      </c>
    </row>
    <row r="325" spans="1:17">
      <c r="C325" s="1015" t="s">
        <v>492</v>
      </c>
      <c r="D325" s="1014"/>
      <c r="E325" s="387">
        <v>4238</v>
      </c>
      <c r="F325" s="1013" t="s">
        <v>493</v>
      </c>
      <c r="G325" s="1014"/>
      <c r="H325" s="387">
        <v>19626</v>
      </c>
      <c r="I325" s="1013" t="s">
        <v>494</v>
      </c>
      <c r="J325" s="1014"/>
      <c r="K325" s="388">
        <v>30154</v>
      </c>
      <c r="L325" s="1013" t="s">
        <v>495</v>
      </c>
      <c r="M325" s="1014"/>
      <c r="N325" s="389">
        <v>61421</v>
      </c>
    </row>
    <row r="326" spans="1:17">
      <c r="C326" s="1015"/>
      <c r="D326" s="1014"/>
      <c r="E326" s="387"/>
      <c r="F326" s="1013" t="s">
        <v>496</v>
      </c>
      <c r="G326" s="1014"/>
      <c r="H326" s="387">
        <v>60272</v>
      </c>
      <c r="I326" s="1013" t="s">
        <v>497</v>
      </c>
      <c r="J326" s="1014"/>
      <c r="K326" s="388">
        <v>441630</v>
      </c>
      <c r="L326" s="1013" t="s">
        <v>498</v>
      </c>
      <c r="M326" s="1014"/>
      <c r="N326" s="389">
        <v>26848</v>
      </c>
    </row>
    <row r="327" spans="1:17">
      <c r="C327" s="1015"/>
      <c r="D327" s="1014"/>
      <c r="E327" s="387"/>
      <c r="F327" s="1013"/>
      <c r="G327" s="1014"/>
      <c r="H327" s="387"/>
      <c r="I327" s="1013" t="s">
        <v>499</v>
      </c>
      <c r="J327" s="1014"/>
      <c r="K327" s="388">
        <v>4335</v>
      </c>
      <c r="L327" s="1013" t="s">
        <v>500</v>
      </c>
      <c r="M327" s="1014"/>
      <c r="N327" s="389">
        <v>8476</v>
      </c>
    </row>
    <row r="328" spans="1:17">
      <c r="C328" s="1015"/>
      <c r="D328" s="1014"/>
      <c r="E328" s="387"/>
      <c r="F328" s="1013"/>
      <c r="G328" s="1014"/>
      <c r="H328" s="387"/>
      <c r="I328" s="1013" t="s">
        <v>501</v>
      </c>
      <c r="J328" s="1014"/>
      <c r="K328" s="388">
        <v>40674</v>
      </c>
      <c r="L328" s="1013" t="s">
        <v>502</v>
      </c>
      <c r="M328" s="1014"/>
      <c r="N328" s="389">
        <v>7694</v>
      </c>
    </row>
    <row r="329" spans="1:17" ht="15.75" thickBot="1">
      <c r="C329" s="390"/>
      <c r="D329" s="391" t="s">
        <v>503</v>
      </c>
      <c r="E329" s="392">
        <v>4238</v>
      </c>
      <c r="F329" s="393"/>
      <c r="G329" s="391" t="s">
        <v>505</v>
      </c>
      <c r="H329" s="394">
        <v>79898</v>
      </c>
      <c r="I329" s="395"/>
      <c r="J329" s="391" t="s">
        <v>506</v>
      </c>
      <c r="K329" s="392">
        <v>516793</v>
      </c>
      <c r="L329" s="395"/>
      <c r="M329" s="391" t="s">
        <v>504</v>
      </c>
      <c r="N329" s="396">
        <v>104439</v>
      </c>
    </row>
    <row r="333" spans="1:17">
      <c r="A333" s="1129" t="s">
        <v>368</v>
      </c>
      <c r="B333" s="1129"/>
      <c r="C333" s="1129"/>
      <c r="D333" s="1129"/>
      <c r="E333" s="1129"/>
      <c r="F333" s="1129"/>
      <c r="G333" s="1129"/>
      <c r="H333" s="1129"/>
      <c r="I333" s="1129"/>
      <c r="J333" s="1129"/>
      <c r="K333" s="1129"/>
      <c r="L333" s="1129"/>
      <c r="M333" s="1129"/>
      <c r="N333" s="1129"/>
      <c r="O333" s="1129"/>
      <c r="P333" s="1129"/>
      <c r="Q333" s="1129"/>
    </row>
    <row r="334" spans="1:17">
      <c r="A334" s="5"/>
      <c r="B334" s="5"/>
      <c r="C334" s="5" t="s">
        <v>360</v>
      </c>
      <c r="D334" s="5">
        <v>2047.43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>
      <c r="A335" s="5"/>
      <c r="B335" s="5"/>
      <c r="C335" s="5" t="s">
        <v>361</v>
      </c>
      <c r="D335" s="5">
        <v>0.2</v>
      </c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>
      <c r="A336" s="5"/>
      <c r="B336" s="5"/>
      <c r="C336" s="5"/>
      <c r="D336" s="5"/>
      <c r="E336" s="131" t="s">
        <v>352</v>
      </c>
      <c r="F336" s="132" t="s">
        <v>347</v>
      </c>
      <c r="G336" s="5" t="s">
        <v>353</v>
      </c>
      <c r="H336" s="118" t="s">
        <v>356</v>
      </c>
      <c r="I336" s="133" t="s">
        <v>354</v>
      </c>
      <c r="J336" s="26" t="s">
        <v>348</v>
      </c>
      <c r="K336" s="5"/>
      <c r="L336" s="5"/>
      <c r="M336" s="5"/>
      <c r="N336" s="5"/>
      <c r="O336" s="5"/>
      <c r="P336" s="5"/>
      <c r="Q336" s="5"/>
    </row>
    <row r="337" spans="1:17">
      <c r="A337" s="5"/>
      <c r="B337" s="5"/>
      <c r="C337" s="5"/>
      <c r="D337" s="5"/>
      <c r="E337" s="5"/>
      <c r="F337" s="5"/>
      <c r="G337" s="5"/>
      <c r="H337" s="132" t="s">
        <v>357</v>
      </c>
      <c r="I337" s="5"/>
      <c r="J337" s="5" t="s">
        <v>358</v>
      </c>
      <c r="K337" s="5"/>
      <c r="L337" s="5"/>
      <c r="M337" s="5"/>
      <c r="N337" s="5"/>
      <c r="O337" s="5"/>
      <c r="P337" s="5"/>
      <c r="Q337" s="5"/>
    </row>
    <row r="338" spans="1:17">
      <c r="A338" s="5"/>
      <c r="B338" s="5"/>
      <c r="C338" s="5"/>
      <c r="D338" s="5"/>
      <c r="E338" s="5"/>
      <c r="F338" s="5"/>
      <c r="G338" s="5"/>
      <c r="H338" s="132"/>
      <c r="I338" s="5"/>
      <c r="J338" s="5"/>
      <c r="K338" s="5"/>
      <c r="L338" s="5"/>
      <c r="M338" s="5"/>
      <c r="N338" s="5"/>
      <c r="O338" s="5"/>
      <c r="P338" s="5"/>
      <c r="Q338" s="5"/>
    </row>
    <row r="339" spans="1:17">
      <c r="A339" s="5"/>
      <c r="B339" s="5"/>
      <c r="C339" s="5"/>
      <c r="D339" s="934" t="s">
        <v>44</v>
      </c>
      <c r="E339" s="935"/>
      <c r="F339" s="935"/>
      <c r="G339" s="935"/>
      <c r="H339" s="935"/>
      <c r="I339" s="935"/>
      <c r="J339" s="935"/>
      <c r="K339" s="935"/>
      <c r="L339" s="935"/>
      <c r="M339" s="935"/>
      <c r="N339" s="935"/>
      <c r="O339" s="936"/>
      <c r="P339" s="5"/>
      <c r="Q339" s="5"/>
    </row>
    <row r="340" spans="1:17">
      <c r="A340" s="5"/>
      <c r="B340" s="5"/>
      <c r="C340" s="161"/>
      <c r="D340" s="79" t="s">
        <v>0</v>
      </c>
      <c r="E340" s="79" t="s">
        <v>1</v>
      </c>
      <c r="F340" s="79" t="s">
        <v>2</v>
      </c>
      <c r="G340" s="79" t="s">
        <v>3</v>
      </c>
      <c r="H340" s="79" t="s">
        <v>4</v>
      </c>
      <c r="I340" s="79" t="s">
        <v>5</v>
      </c>
      <c r="J340" s="79" t="s">
        <v>6</v>
      </c>
      <c r="K340" s="79" t="s">
        <v>7</v>
      </c>
      <c r="L340" s="79" t="s">
        <v>8</v>
      </c>
      <c r="M340" s="79" t="s">
        <v>240</v>
      </c>
      <c r="N340" s="79" t="s">
        <v>241</v>
      </c>
      <c r="O340" s="79" t="s">
        <v>242</v>
      </c>
      <c r="P340" s="5"/>
      <c r="Q340" s="5"/>
    </row>
    <row r="341" spans="1:17">
      <c r="A341" s="5"/>
      <c r="B341" s="5"/>
      <c r="C341" s="639" t="s">
        <v>554</v>
      </c>
      <c r="D341" s="136">
        <f t="shared" ref="D341:O341" si="92">D342*($E$485*($E$486/$F$486)+$E$487*($E$488/$F$488))</f>
        <v>10776.485647706815</v>
      </c>
      <c r="E341" s="136">
        <f t="shared" si="92"/>
        <v>17771.441228654301</v>
      </c>
      <c r="F341" s="136">
        <f t="shared" si="92"/>
        <v>21263.534141852488</v>
      </c>
      <c r="G341" s="136">
        <f t="shared" si="92"/>
        <v>46495.722835789886</v>
      </c>
      <c r="H341" s="136">
        <f t="shared" si="92"/>
        <v>374270.51016025711</v>
      </c>
      <c r="I341" s="136">
        <f t="shared" si="92"/>
        <v>374270.51016025711</v>
      </c>
      <c r="J341" s="136">
        <f t="shared" si="92"/>
        <v>374270.51016025711</v>
      </c>
      <c r="K341" s="136">
        <f t="shared" si="92"/>
        <v>374270.51016025711</v>
      </c>
      <c r="L341" s="136">
        <f t="shared" si="92"/>
        <v>374270.51016025711</v>
      </c>
      <c r="M341" s="136">
        <f t="shared" si="92"/>
        <v>374270.51016025711</v>
      </c>
      <c r="N341" s="136">
        <f t="shared" si="92"/>
        <v>374270.51016025711</v>
      </c>
      <c r="O341" s="136">
        <f t="shared" si="92"/>
        <v>374270.51016025711</v>
      </c>
      <c r="P341" s="5"/>
      <c r="Q341" s="5"/>
    </row>
    <row r="342" spans="1:17">
      <c r="A342" s="5"/>
      <c r="B342" s="5"/>
      <c r="C342" s="640" t="s">
        <v>555</v>
      </c>
      <c r="D342" s="117">
        <v>8005</v>
      </c>
      <c r="E342" s="117">
        <v>13201</v>
      </c>
      <c r="F342" s="117">
        <v>15795</v>
      </c>
      <c r="G342" s="117">
        <v>34538</v>
      </c>
      <c r="H342" s="117">
        <v>278016</v>
      </c>
      <c r="I342" s="117">
        <v>278016</v>
      </c>
      <c r="J342" s="117">
        <v>278016</v>
      </c>
      <c r="K342" s="117">
        <v>278016</v>
      </c>
      <c r="L342" s="117">
        <v>278016</v>
      </c>
      <c r="M342" s="117">
        <v>278016</v>
      </c>
      <c r="N342" s="117">
        <v>278016</v>
      </c>
      <c r="O342" s="117">
        <v>278016</v>
      </c>
      <c r="P342" s="5"/>
      <c r="Q342" s="5"/>
    </row>
    <row r="343" spans="1:17">
      <c r="A343" s="5"/>
      <c r="B343" s="5"/>
      <c r="C343" s="34"/>
      <c r="D343" s="927" t="s">
        <v>45</v>
      </c>
      <c r="E343" s="928"/>
      <c r="F343" s="928"/>
      <c r="G343" s="928"/>
      <c r="H343" s="928"/>
      <c r="I343" s="928"/>
      <c r="J343" s="928"/>
      <c r="K343" s="928"/>
      <c r="L343" s="928"/>
      <c r="M343" s="928"/>
      <c r="N343" s="928"/>
      <c r="O343" s="929"/>
      <c r="P343" s="5"/>
      <c r="Q343" s="5"/>
    </row>
    <row r="344" spans="1:17">
      <c r="A344" s="5"/>
      <c r="B344" s="5"/>
      <c r="C344" s="639" t="s">
        <v>554</v>
      </c>
      <c r="D344" s="136">
        <f t="shared" ref="D344:O344" si="93">D345*($E$485*($E$486/$F$486)+$E$487*($E$488/$F$488))</f>
        <v>390403.60247782344</v>
      </c>
      <c r="E344" s="136">
        <f t="shared" si="93"/>
        <v>390403.60247782344</v>
      </c>
      <c r="F344" s="136">
        <f t="shared" si="93"/>
        <v>390403.60247782344</v>
      </c>
      <c r="G344" s="136">
        <f t="shared" si="93"/>
        <v>390403.60247782344</v>
      </c>
      <c r="H344" s="136">
        <f t="shared" si="93"/>
        <v>390403.60247782344</v>
      </c>
      <c r="I344" s="136">
        <f t="shared" si="93"/>
        <v>390403.60247782344</v>
      </c>
      <c r="J344" s="136">
        <f t="shared" si="93"/>
        <v>390403.60247782344</v>
      </c>
      <c r="K344" s="136">
        <f t="shared" si="93"/>
        <v>390403.60247782344</v>
      </c>
      <c r="L344" s="136">
        <f t="shared" si="93"/>
        <v>390403.60247782344</v>
      </c>
      <c r="M344" s="136">
        <f t="shared" si="93"/>
        <v>390403.60247782344</v>
      </c>
      <c r="N344" s="136">
        <f t="shared" si="93"/>
        <v>390403.60247782344</v>
      </c>
      <c r="O344" s="136">
        <f t="shared" si="93"/>
        <v>390403.60247782344</v>
      </c>
      <c r="P344" s="5"/>
      <c r="Q344" s="5"/>
    </row>
    <row r="345" spans="1:17">
      <c r="A345" s="5"/>
      <c r="B345" s="5"/>
      <c r="C345" s="640" t="s">
        <v>555</v>
      </c>
      <c r="D345" s="117">
        <v>290000</v>
      </c>
      <c r="E345" s="117">
        <v>290000</v>
      </c>
      <c r="F345" s="117">
        <v>290000</v>
      </c>
      <c r="G345" s="117">
        <v>290000</v>
      </c>
      <c r="H345" s="117">
        <v>290000</v>
      </c>
      <c r="I345" s="117">
        <v>290000</v>
      </c>
      <c r="J345" s="117">
        <v>290000</v>
      </c>
      <c r="K345" s="117">
        <v>290000</v>
      </c>
      <c r="L345" s="117">
        <v>290000</v>
      </c>
      <c r="M345" s="117">
        <v>290000</v>
      </c>
      <c r="N345" s="117">
        <v>290000</v>
      </c>
      <c r="O345" s="117">
        <v>290000</v>
      </c>
      <c r="P345" s="5"/>
      <c r="Q345" s="5"/>
    </row>
    <row r="346" spans="1:17">
      <c r="A346" s="5"/>
      <c r="B346" s="5"/>
      <c r="C346" s="34"/>
      <c r="D346" s="927" t="s">
        <v>441</v>
      </c>
      <c r="E346" s="928"/>
      <c r="F346" s="928"/>
      <c r="G346" s="928"/>
      <c r="H346" s="928"/>
      <c r="I346" s="928"/>
      <c r="J346" s="928"/>
      <c r="K346" s="928"/>
      <c r="L346" s="928"/>
      <c r="M346" s="928"/>
      <c r="N346" s="928"/>
      <c r="O346" s="929"/>
      <c r="P346" s="5"/>
      <c r="Q346" s="5"/>
    </row>
    <row r="347" spans="1:17">
      <c r="A347" s="5"/>
      <c r="B347" s="5"/>
      <c r="C347" s="639" t="s">
        <v>554</v>
      </c>
      <c r="D347" s="136">
        <f>D348*1.03</f>
        <v>387280</v>
      </c>
      <c r="E347" s="136">
        <f t="shared" ref="E347:O347" si="94">E348*1.03</f>
        <v>387280</v>
      </c>
      <c r="F347" s="136">
        <f t="shared" si="94"/>
        <v>387280</v>
      </c>
      <c r="G347" s="136">
        <f t="shared" si="94"/>
        <v>387280</v>
      </c>
      <c r="H347" s="136">
        <f t="shared" si="94"/>
        <v>387280</v>
      </c>
      <c r="I347" s="136">
        <f t="shared" si="94"/>
        <v>387280</v>
      </c>
      <c r="J347" s="136">
        <f t="shared" si="94"/>
        <v>387280</v>
      </c>
      <c r="K347" s="136">
        <f t="shared" si="94"/>
        <v>387280</v>
      </c>
      <c r="L347" s="136">
        <f t="shared" si="94"/>
        <v>387280</v>
      </c>
      <c r="M347" s="136">
        <f t="shared" si="94"/>
        <v>387280</v>
      </c>
      <c r="N347" s="136">
        <f t="shared" si="94"/>
        <v>387280</v>
      </c>
      <c r="O347" s="136">
        <f t="shared" si="94"/>
        <v>387280</v>
      </c>
      <c r="P347" s="5"/>
      <c r="Q347" s="5"/>
    </row>
    <row r="348" spans="1:17">
      <c r="A348" s="5"/>
      <c r="B348" s="5"/>
      <c r="C348" s="640" t="s">
        <v>555</v>
      </c>
      <c r="D348" s="117">
        <v>376000</v>
      </c>
      <c r="E348" s="117">
        <v>376000</v>
      </c>
      <c r="F348" s="117">
        <v>376000</v>
      </c>
      <c r="G348" s="117">
        <v>376000</v>
      </c>
      <c r="H348" s="117">
        <v>376000</v>
      </c>
      <c r="I348" s="117">
        <v>376000</v>
      </c>
      <c r="J348" s="117">
        <v>376000</v>
      </c>
      <c r="K348" s="117">
        <v>376000</v>
      </c>
      <c r="L348" s="117">
        <v>376000</v>
      </c>
      <c r="M348" s="117">
        <v>376000</v>
      </c>
      <c r="N348" s="117">
        <v>376000</v>
      </c>
      <c r="O348" s="117">
        <v>376000</v>
      </c>
      <c r="P348" s="5"/>
      <c r="Q348" s="5"/>
    </row>
    <row r="349" spans="1:17">
      <c r="A349" s="5"/>
      <c r="B349" s="5"/>
      <c r="C349" s="34"/>
      <c r="D349" s="927" t="s">
        <v>60</v>
      </c>
      <c r="E349" s="928"/>
      <c r="F349" s="928"/>
      <c r="G349" s="928"/>
      <c r="H349" s="928"/>
      <c r="I349" s="928"/>
      <c r="J349" s="928"/>
      <c r="K349" s="928"/>
      <c r="L349" s="928"/>
      <c r="M349" s="928"/>
      <c r="N349" s="928"/>
      <c r="O349" s="929"/>
      <c r="P349" s="5"/>
      <c r="Q349" s="5"/>
    </row>
    <row r="350" spans="1:17">
      <c r="A350" s="5"/>
      <c r="B350" s="5"/>
      <c r="C350" s="639" t="s">
        <v>554</v>
      </c>
      <c r="D350" s="136">
        <f t="shared" ref="D350:O350" si="95">D351*($E$485*($E$486/$F$486)+$E$487*($E$488/$F$488))</f>
        <v>57813.388649690096</v>
      </c>
      <c r="E350" s="136">
        <f t="shared" si="95"/>
        <v>64236.201020109736</v>
      </c>
      <c r="F350" s="136">
        <f t="shared" si="95"/>
        <v>71373.855848859457</v>
      </c>
      <c r="G350" s="136">
        <f t="shared" si="95"/>
        <v>79304.433856434829</v>
      </c>
      <c r="H350" s="136">
        <f t="shared" si="95"/>
        <v>198261.75775074653</v>
      </c>
      <c r="I350" s="136">
        <f t="shared" si="95"/>
        <v>198261.75775074653</v>
      </c>
      <c r="J350" s="136">
        <f t="shared" si="95"/>
        <v>198261.75775074653</v>
      </c>
      <c r="K350" s="136">
        <f t="shared" si="95"/>
        <v>198261.75775074653</v>
      </c>
      <c r="L350" s="136">
        <f t="shared" si="95"/>
        <v>198261.75775074653</v>
      </c>
      <c r="M350" s="136">
        <f t="shared" si="95"/>
        <v>198261.75775074653</v>
      </c>
      <c r="N350" s="136">
        <f t="shared" si="95"/>
        <v>198261.75775074653</v>
      </c>
      <c r="O350" s="136">
        <f t="shared" si="95"/>
        <v>198261.75775074653</v>
      </c>
      <c r="P350" s="5"/>
      <c r="Q350" s="5"/>
    </row>
    <row r="351" spans="1:17">
      <c r="A351" s="5"/>
      <c r="B351" s="5"/>
      <c r="C351" s="640" t="s">
        <v>555</v>
      </c>
      <c r="D351" s="117">
        <v>42945</v>
      </c>
      <c r="E351" s="117">
        <v>47716</v>
      </c>
      <c r="F351" s="117">
        <v>53018</v>
      </c>
      <c r="G351" s="117">
        <v>58909</v>
      </c>
      <c r="H351" s="117">
        <v>147273</v>
      </c>
      <c r="I351" s="117">
        <v>147273</v>
      </c>
      <c r="J351" s="117">
        <v>147273</v>
      </c>
      <c r="K351" s="117">
        <v>147273</v>
      </c>
      <c r="L351" s="117">
        <v>147273</v>
      </c>
      <c r="M351" s="117">
        <v>147273</v>
      </c>
      <c r="N351" s="117">
        <v>147273</v>
      </c>
      <c r="O351" s="117">
        <v>147273</v>
      </c>
      <c r="P351" s="5"/>
      <c r="Q351" s="5"/>
    </row>
    <row r="352" spans="1:17">
      <c r="A352" s="57"/>
      <c r="B352" s="57"/>
      <c r="C352" s="34"/>
      <c r="D352" s="927" t="s">
        <v>567</v>
      </c>
      <c r="E352" s="928"/>
      <c r="F352" s="928"/>
      <c r="G352" s="928"/>
      <c r="H352" s="928"/>
      <c r="I352" s="928"/>
      <c r="J352" s="928"/>
      <c r="K352" s="928"/>
      <c r="L352" s="928"/>
      <c r="M352" s="928"/>
      <c r="N352" s="928"/>
      <c r="O352" s="929"/>
    </row>
    <row r="353" spans="1:18">
      <c r="A353" s="57"/>
      <c r="B353" s="57"/>
      <c r="C353" s="639" t="s">
        <v>554</v>
      </c>
      <c r="D353" s="136">
        <f t="shared" ref="D353:O353" si="96">D354*($E$485*($E$486/$F$486)+$E$487*($E$488/$F$488))</f>
        <v>0</v>
      </c>
      <c r="E353" s="136">
        <f t="shared" si="96"/>
        <v>0</v>
      </c>
      <c r="F353" s="136">
        <f t="shared" si="96"/>
        <v>0</v>
      </c>
      <c r="G353" s="136">
        <f t="shared" si="96"/>
        <v>539819.13846199983</v>
      </c>
      <c r="H353" s="136">
        <f t="shared" si="96"/>
        <v>539819.13846199983</v>
      </c>
      <c r="I353" s="136">
        <f t="shared" si="96"/>
        <v>507950.08852593938</v>
      </c>
      <c r="J353" s="136">
        <f t="shared" si="96"/>
        <v>584230.9137921494</v>
      </c>
      <c r="K353" s="136">
        <f t="shared" si="96"/>
        <v>612268.62354665156</v>
      </c>
      <c r="L353" s="136">
        <f t="shared" si="96"/>
        <v>734722.07901211816</v>
      </c>
      <c r="M353" s="136">
        <f t="shared" si="96"/>
        <v>0</v>
      </c>
      <c r="N353" s="136">
        <f t="shared" si="96"/>
        <v>0</v>
      </c>
      <c r="O353" s="136">
        <f t="shared" si="96"/>
        <v>0</v>
      </c>
    </row>
    <row r="354" spans="1:18">
      <c r="A354" s="57"/>
      <c r="B354" s="57"/>
      <c r="C354" s="640" t="s">
        <v>555</v>
      </c>
      <c r="D354" s="117"/>
      <c r="E354" s="117"/>
      <c r="F354" s="117"/>
      <c r="G354" s="117">
        <v>400989</v>
      </c>
      <c r="H354" s="117">
        <v>400989</v>
      </c>
      <c r="I354" s="117">
        <v>377316</v>
      </c>
      <c r="J354" s="117">
        <v>433979</v>
      </c>
      <c r="K354" s="117">
        <v>454806</v>
      </c>
      <c r="L354" s="117">
        <v>545767</v>
      </c>
      <c r="M354" s="117"/>
      <c r="N354" s="117"/>
      <c r="O354" s="117"/>
    </row>
    <row r="355" spans="1:18">
      <c r="A355" s="57"/>
      <c r="B355" s="57"/>
      <c r="C355" s="34"/>
      <c r="D355" s="927" t="s">
        <v>384</v>
      </c>
      <c r="E355" s="928"/>
      <c r="F355" s="928"/>
      <c r="G355" s="928"/>
      <c r="H355" s="928"/>
      <c r="I355" s="928"/>
      <c r="J355" s="928"/>
      <c r="K355" s="928"/>
      <c r="L355" s="928"/>
      <c r="M355" s="928"/>
      <c r="N355" s="928"/>
      <c r="O355" s="929"/>
    </row>
    <row r="356" spans="1:18">
      <c r="A356" s="57"/>
      <c r="B356" s="57"/>
      <c r="C356" s="639" t="s">
        <v>554</v>
      </c>
      <c r="D356" s="136">
        <f t="shared" ref="D356:O356" si="97">D357*($E$485*($E$486/$F$486)+$E$487*($E$488/$F$488))</f>
        <v>0</v>
      </c>
      <c r="E356" s="136">
        <f t="shared" si="97"/>
        <v>0</v>
      </c>
      <c r="F356" s="136"/>
      <c r="G356" s="136">
        <f>G357*($E$485*($E$486/$F$486)+$E$487*($E$488/$F$488))</f>
        <v>2755051.2982996223</v>
      </c>
      <c r="H356" s="136">
        <f>H357*($E$485*($E$486/$F$486)+$E$487*($E$488/$F$488))</f>
        <v>2917600.5499588801</v>
      </c>
      <c r="I356" s="136">
        <f t="shared" si="97"/>
        <v>3243529.6705971505</v>
      </c>
      <c r="J356" s="136">
        <f t="shared" si="97"/>
        <v>3342085.0407136986</v>
      </c>
      <c r="K356" s="136">
        <f t="shared" si="97"/>
        <v>3400274.0245533586</v>
      </c>
      <c r="L356" s="136">
        <f t="shared" si="97"/>
        <v>3856677.3753590365</v>
      </c>
      <c r="M356" s="136">
        <f t="shared" si="97"/>
        <v>0</v>
      </c>
      <c r="N356" s="136">
        <f t="shared" si="97"/>
        <v>0</v>
      </c>
      <c r="O356" s="136">
        <f t="shared" si="97"/>
        <v>0</v>
      </c>
    </row>
    <row r="357" spans="1:18">
      <c r="A357" s="57"/>
      <c r="B357" s="57"/>
      <c r="C357" s="640" t="s">
        <v>555</v>
      </c>
      <c r="D357" s="117"/>
      <c r="E357" s="117"/>
      <c r="G357" s="117">
        <v>2046510</v>
      </c>
      <c r="H357" s="117">
        <v>2167255</v>
      </c>
      <c r="I357" s="117">
        <v>2409362</v>
      </c>
      <c r="J357" s="117">
        <v>2482571</v>
      </c>
      <c r="K357" s="117">
        <v>2525795</v>
      </c>
      <c r="L357" s="117">
        <v>2864821</v>
      </c>
      <c r="M357" s="117"/>
      <c r="N357" s="117"/>
      <c r="O357" s="117"/>
    </row>
    <row r="358" spans="1:18">
      <c r="A358" s="57"/>
      <c r="B358" s="57"/>
      <c r="C358" s="34"/>
      <c r="D358" s="927" t="s">
        <v>385</v>
      </c>
      <c r="E358" s="928"/>
      <c r="F358" s="928"/>
      <c r="G358" s="928"/>
      <c r="H358" s="928"/>
      <c r="I358" s="928"/>
      <c r="J358" s="928"/>
      <c r="K358" s="928"/>
      <c r="L358" s="928"/>
      <c r="M358" s="928"/>
      <c r="N358" s="928"/>
      <c r="O358" s="929"/>
    </row>
    <row r="359" spans="1:18">
      <c r="A359" s="57"/>
      <c r="B359" s="57"/>
      <c r="C359" s="639" t="s">
        <v>554</v>
      </c>
      <c r="D359" s="136">
        <f t="shared" ref="D359:O359" si="98">D360*($E$485*($E$486/$F$486)+$E$487*($E$488/$F$488))</f>
        <v>0</v>
      </c>
      <c r="E359" s="136">
        <f t="shared" si="98"/>
        <v>0</v>
      </c>
      <c r="F359" s="136">
        <f t="shared" si="98"/>
        <v>0</v>
      </c>
      <c r="G359" s="136">
        <f t="shared" si="98"/>
        <v>6717587.2835801803</v>
      </c>
      <c r="H359" s="136">
        <f t="shared" si="98"/>
        <v>6894262.4145525405</v>
      </c>
      <c r="I359" s="136">
        <f t="shared" si="98"/>
        <v>6584920.0621423023</v>
      </c>
      <c r="J359" s="136">
        <f t="shared" si="98"/>
        <v>6667661.3939198609</v>
      </c>
      <c r="K359" s="136">
        <f t="shared" si="98"/>
        <v>6759080.4554269779</v>
      </c>
      <c r="L359" s="136">
        <f t="shared" si="98"/>
        <v>6883480.5440275585</v>
      </c>
      <c r="M359" s="136">
        <f t="shared" si="98"/>
        <v>0</v>
      </c>
      <c r="N359" s="136">
        <f t="shared" si="98"/>
        <v>0</v>
      </c>
      <c r="O359" s="136">
        <f t="shared" si="98"/>
        <v>0</v>
      </c>
    </row>
    <row r="360" spans="1:18">
      <c r="A360" s="57"/>
      <c r="B360" s="57"/>
      <c r="C360" s="640" t="s">
        <v>555</v>
      </c>
      <c r="D360" s="117"/>
      <c r="E360" s="117"/>
      <c r="F360" s="117"/>
      <c r="G360" s="117">
        <v>4989965</v>
      </c>
      <c r="H360" s="117">
        <v>5121203</v>
      </c>
      <c r="I360" s="117">
        <v>4891417</v>
      </c>
      <c r="J360" s="117">
        <v>4952879</v>
      </c>
      <c r="K360" s="117">
        <v>5020787</v>
      </c>
      <c r="L360" s="117">
        <v>5113194</v>
      </c>
      <c r="M360" s="117"/>
      <c r="N360" s="117"/>
      <c r="O360" s="117"/>
    </row>
    <row r="361" spans="1:18">
      <c r="A361" s="57"/>
      <c r="B361" s="57"/>
      <c r="C361" s="34"/>
      <c r="D361" s="927" t="s">
        <v>70</v>
      </c>
      <c r="E361" s="928"/>
      <c r="F361" s="928"/>
      <c r="G361" s="928"/>
      <c r="H361" s="928"/>
      <c r="I361" s="928"/>
      <c r="J361" s="928"/>
      <c r="K361" s="928"/>
      <c r="L361" s="928"/>
      <c r="M361" s="928"/>
      <c r="N361" s="928"/>
      <c r="O361" s="929"/>
    </row>
    <row r="362" spans="1:18">
      <c r="A362" s="57"/>
      <c r="B362" s="57"/>
      <c r="C362" s="639" t="s">
        <v>554</v>
      </c>
      <c r="D362" s="136">
        <f t="shared" ref="D362:O362" si="99">D363*($E$485*($E$486/$F$486)+$E$487*($E$488/$F$488))</f>
        <v>1950596.4047883702</v>
      </c>
      <c r="E362" s="136">
        <f t="shared" si="99"/>
        <v>3705468.6752420999</v>
      </c>
      <c r="F362" s="136">
        <f t="shared" si="99"/>
        <v>2113145.656447628</v>
      </c>
      <c r="G362" s="136">
        <f t="shared" si="99"/>
        <v>0</v>
      </c>
      <c r="H362" s="136">
        <f t="shared" si="99"/>
        <v>0</v>
      </c>
      <c r="I362" s="136">
        <f t="shared" si="99"/>
        <v>0</v>
      </c>
      <c r="J362" s="136">
        <f t="shared" si="99"/>
        <v>0</v>
      </c>
      <c r="K362" s="136">
        <f t="shared" si="99"/>
        <v>0</v>
      </c>
      <c r="L362" s="136">
        <f t="shared" si="99"/>
        <v>0</v>
      </c>
      <c r="M362" s="136">
        <f t="shared" si="99"/>
        <v>0</v>
      </c>
      <c r="N362" s="136">
        <f t="shared" si="99"/>
        <v>0</v>
      </c>
      <c r="O362" s="136">
        <f t="shared" si="99"/>
        <v>0</v>
      </c>
    </row>
    <row r="363" spans="1:18">
      <c r="A363" s="57"/>
      <c r="B363" s="57"/>
      <c r="C363" s="640" t="s">
        <v>555</v>
      </c>
      <c r="D363" s="117">
        <v>1448944</v>
      </c>
      <c r="E363" s="117">
        <v>2752500</v>
      </c>
      <c r="F363" s="117">
        <v>1569689</v>
      </c>
      <c r="G363" s="117"/>
      <c r="H363" s="117"/>
      <c r="I363" s="117"/>
      <c r="J363" s="117"/>
      <c r="K363" s="117"/>
      <c r="L363" s="117"/>
      <c r="M363" s="117"/>
      <c r="N363" s="117"/>
      <c r="O363" s="117"/>
    </row>
    <row r="364" spans="1:18">
      <c r="A364" s="57"/>
      <c r="B364" s="57"/>
      <c r="C364" s="34"/>
      <c r="D364" s="927" t="s">
        <v>402</v>
      </c>
      <c r="E364" s="928"/>
      <c r="F364" s="928"/>
      <c r="G364" s="928"/>
      <c r="H364" s="928"/>
      <c r="I364" s="928"/>
      <c r="J364" s="928"/>
      <c r="K364" s="928"/>
      <c r="L364" s="928"/>
      <c r="M364" s="928"/>
      <c r="N364" s="928"/>
      <c r="O364" s="929"/>
    </row>
    <row r="365" spans="1:18">
      <c r="A365" s="57"/>
      <c r="B365" s="57"/>
      <c r="C365" s="639" t="s">
        <v>554</v>
      </c>
      <c r="D365" s="136">
        <f t="shared" ref="D365:O365" si="100">D366*($E$485*($E$486/$F$486)+$E$487*($E$488/$F$488))</f>
        <v>487649.10119709256</v>
      </c>
      <c r="E365" s="136">
        <f t="shared" si="100"/>
        <v>481014.93239360739</v>
      </c>
      <c r="F365" s="136">
        <f t="shared" si="100"/>
        <v>528286.0775570774</v>
      </c>
      <c r="G365" s="136">
        <f t="shared" si="100"/>
        <v>0</v>
      </c>
      <c r="H365" s="136">
        <f t="shared" si="100"/>
        <v>0</v>
      </c>
      <c r="I365" s="136">
        <f t="shared" si="100"/>
        <v>0</v>
      </c>
      <c r="J365" s="136">
        <f t="shared" si="100"/>
        <v>0</v>
      </c>
      <c r="K365" s="136">
        <f t="shared" si="100"/>
        <v>0</v>
      </c>
      <c r="L365" s="136">
        <f t="shared" si="100"/>
        <v>0</v>
      </c>
      <c r="M365" s="136">
        <f t="shared" si="100"/>
        <v>0</v>
      </c>
      <c r="N365" s="136">
        <f t="shared" si="100"/>
        <v>0</v>
      </c>
      <c r="O365" s="136">
        <f t="shared" si="100"/>
        <v>0</v>
      </c>
    </row>
    <row r="366" spans="1:18">
      <c r="A366" s="57"/>
      <c r="B366" s="57"/>
      <c r="C366" s="640" t="s">
        <v>555</v>
      </c>
      <c r="D366" s="117">
        <v>362236</v>
      </c>
      <c r="E366" s="117">
        <v>357308</v>
      </c>
      <c r="F366" s="117">
        <v>392422</v>
      </c>
      <c r="G366" s="117"/>
      <c r="H366" s="117"/>
      <c r="I366" s="117"/>
      <c r="J366" s="117"/>
      <c r="K366" s="117"/>
      <c r="L366" s="117"/>
      <c r="M366" s="117"/>
      <c r="N366" s="117"/>
      <c r="O366" s="117"/>
    </row>
    <row r="367" spans="1:18">
      <c r="A367" s="57"/>
      <c r="B367" s="57"/>
      <c r="C367" s="34"/>
      <c r="D367" s="927" t="s">
        <v>102</v>
      </c>
      <c r="E367" s="928"/>
      <c r="F367" s="928"/>
      <c r="G367" s="928"/>
      <c r="H367" s="928"/>
      <c r="I367" s="928"/>
      <c r="J367" s="928"/>
      <c r="K367" s="928"/>
      <c r="L367" s="928"/>
      <c r="M367" s="928"/>
      <c r="N367" s="928"/>
      <c r="O367" s="929"/>
      <c r="Q367" s="978"/>
      <c r="R367" s="978"/>
    </row>
    <row r="368" spans="1:18">
      <c r="A368" s="57"/>
      <c r="B368" s="57"/>
      <c r="C368" s="639" t="s">
        <v>554</v>
      </c>
      <c r="D368" s="136">
        <f t="shared" ref="D368:O368" si="101">D369*($E$485*($E$486/$F$486)+$E$487*($E$488/$F$488))</f>
        <v>47117.676161116622</v>
      </c>
      <c r="E368" s="136">
        <f t="shared" si="101"/>
        <v>47117.676161116622</v>
      </c>
      <c r="F368" s="136">
        <f t="shared" si="101"/>
        <v>47117.676161116622</v>
      </c>
      <c r="G368" s="136">
        <f t="shared" si="101"/>
        <v>47117.676161116622</v>
      </c>
      <c r="H368" s="136">
        <f t="shared" si="101"/>
        <v>0</v>
      </c>
      <c r="I368" s="136">
        <f t="shared" si="101"/>
        <v>0</v>
      </c>
      <c r="J368" s="136">
        <f t="shared" si="101"/>
        <v>0</v>
      </c>
      <c r="K368" s="136">
        <f t="shared" si="101"/>
        <v>0</v>
      </c>
      <c r="L368" s="136">
        <f t="shared" si="101"/>
        <v>0</v>
      </c>
      <c r="M368" s="136">
        <f t="shared" si="101"/>
        <v>0</v>
      </c>
      <c r="N368" s="136">
        <f t="shared" si="101"/>
        <v>0</v>
      </c>
      <c r="O368" s="136">
        <f t="shared" si="101"/>
        <v>0</v>
      </c>
      <c r="Q368" s="978"/>
      <c r="R368" s="978"/>
    </row>
    <row r="369" spans="1:18">
      <c r="A369" s="57"/>
      <c r="B369" s="57"/>
      <c r="C369" s="640" t="s">
        <v>555</v>
      </c>
      <c r="D369" s="117">
        <v>35000</v>
      </c>
      <c r="E369" s="117">
        <v>35000</v>
      </c>
      <c r="F369" s="117">
        <v>35000</v>
      </c>
      <c r="G369" s="117">
        <v>35000</v>
      </c>
      <c r="H369" s="117"/>
      <c r="I369" s="117"/>
      <c r="J369" s="117"/>
      <c r="K369" s="117"/>
      <c r="L369" s="117"/>
      <c r="M369" s="117"/>
      <c r="N369" s="117"/>
      <c r="O369" s="117"/>
      <c r="Q369" s="978"/>
      <c r="R369" s="978"/>
    </row>
    <row r="370" spans="1:18">
      <c r="A370" s="57"/>
      <c r="B370" s="57"/>
      <c r="C370" s="34"/>
      <c r="D370" s="927" t="s">
        <v>103</v>
      </c>
      <c r="E370" s="928"/>
      <c r="F370" s="928"/>
      <c r="G370" s="928"/>
      <c r="H370" s="928"/>
      <c r="I370" s="928"/>
      <c r="J370" s="928"/>
      <c r="K370" s="928"/>
      <c r="L370" s="928"/>
      <c r="M370" s="928"/>
      <c r="N370" s="928"/>
      <c r="O370" s="929"/>
    </row>
    <row r="371" spans="1:18">
      <c r="A371" s="57"/>
      <c r="B371" s="57"/>
      <c r="C371" s="639" t="s">
        <v>554</v>
      </c>
      <c r="D371" s="136">
        <f t="shared" ref="D371:O371" si="102">D372*($E$485*($E$486/$F$486)+$E$487*($E$488/$F$488))</f>
        <v>60579.869350007088</v>
      </c>
      <c r="E371" s="136">
        <f t="shared" si="102"/>
        <v>60579.869350007088</v>
      </c>
      <c r="F371" s="136">
        <f t="shared" si="102"/>
        <v>60579.869350007088</v>
      </c>
      <c r="G371" s="136">
        <f t="shared" si="102"/>
        <v>60579.869350007088</v>
      </c>
      <c r="H371" s="136">
        <f t="shared" si="102"/>
        <v>0</v>
      </c>
      <c r="I371" s="136">
        <f t="shared" si="102"/>
        <v>0</v>
      </c>
      <c r="J371" s="136">
        <f t="shared" si="102"/>
        <v>0</v>
      </c>
      <c r="K371" s="136">
        <f t="shared" si="102"/>
        <v>0</v>
      </c>
      <c r="L371" s="136">
        <f t="shared" si="102"/>
        <v>0</v>
      </c>
      <c r="M371" s="136">
        <f t="shared" si="102"/>
        <v>0</v>
      </c>
      <c r="N371" s="136">
        <f t="shared" si="102"/>
        <v>0</v>
      </c>
      <c r="O371" s="136">
        <f t="shared" si="102"/>
        <v>0</v>
      </c>
    </row>
    <row r="372" spans="1:18">
      <c r="A372" s="57"/>
      <c r="B372" s="57"/>
      <c r="C372" s="640" t="s">
        <v>555</v>
      </c>
      <c r="D372" s="117">
        <v>45000</v>
      </c>
      <c r="E372" s="117">
        <v>45000</v>
      </c>
      <c r="F372" s="117">
        <v>45000</v>
      </c>
      <c r="G372" s="117">
        <v>45000</v>
      </c>
      <c r="H372" s="117"/>
      <c r="I372" s="117"/>
      <c r="J372" s="117"/>
      <c r="K372" s="117"/>
      <c r="L372" s="117"/>
      <c r="M372" s="117"/>
      <c r="N372" s="117"/>
      <c r="O372" s="117"/>
    </row>
    <row r="373" spans="1:18">
      <c r="A373" s="57"/>
      <c r="B373" s="57"/>
      <c r="C373" s="34"/>
      <c r="D373" s="927" t="s">
        <v>104</v>
      </c>
      <c r="E373" s="928"/>
      <c r="F373" s="928"/>
      <c r="G373" s="928"/>
      <c r="H373" s="928"/>
      <c r="I373" s="928"/>
      <c r="J373" s="928"/>
      <c r="K373" s="928"/>
      <c r="L373" s="928"/>
      <c r="M373" s="928"/>
      <c r="N373" s="928"/>
      <c r="O373" s="929"/>
    </row>
    <row r="374" spans="1:18">
      <c r="A374" s="57"/>
      <c r="B374" s="57"/>
      <c r="C374" s="639" t="s">
        <v>554</v>
      </c>
      <c r="D374" s="136">
        <f t="shared" ref="D374:O374" si="103">D375*($E$485*($E$486/$F$486)+$E$487*($E$488/$F$488))</f>
        <v>80773.159133342779</v>
      </c>
      <c r="E374" s="136">
        <f t="shared" si="103"/>
        <v>80773.159133342779</v>
      </c>
      <c r="F374" s="136">
        <f t="shared" si="103"/>
        <v>80773.159133342779</v>
      </c>
      <c r="G374" s="136">
        <f t="shared" si="103"/>
        <v>80773.159133342779</v>
      </c>
      <c r="H374" s="136">
        <f t="shared" si="103"/>
        <v>0</v>
      </c>
      <c r="I374" s="136">
        <f t="shared" si="103"/>
        <v>0</v>
      </c>
      <c r="J374" s="136">
        <f t="shared" si="103"/>
        <v>0</v>
      </c>
      <c r="K374" s="136">
        <f t="shared" si="103"/>
        <v>0</v>
      </c>
      <c r="L374" s="136">
        <f t="shared" si="103"/>
        <v>0</v>
      </c>
      <c r="M374" s="136">
        <f t="shared" si="103"/>
        <v>0</v>
      </c>
      <c r="N374" s="136">
        <f t="shared" si="103"/>
        <v>0</v>
      </c>
      <c r="O374" s="136">
        <f t="shared" si="103"/>
        <v>0</v>
      </c>
    </row>
    <row r="375" spans="1:18">
      <c r="A375" s="57"/>
      <c r="B375" s="57"/>
      <c r="C375" s="640" t="s">
        <v>555</v>
      </c>
      <c r="D375" s="117">
        <v>60000</v>
      </c>
      <c r="E375" s="117">
        <v>60000</v>
      </c>
      <c r="F375" s="117">
        <v>60000</v>
      </c>
      <c r="G375" s="117">
        <v>60000</v>
      </c>
      <c r="H375" s="117"/>
      <c r="I375" s="117"/>
      <c r="J375" s="117"/>
      <c r="K375" s="117"/>
      <c r="L375" s="117"/>
      <c r="M375" s="117"/>
      <c r="N375" s="117"/>
      <c r="O375" s="117"/>
    </row>
    <row r="376" spans="1:18">
      <c r="A376" s="57"/>
      <c r="B376" s="57"/>
      <c r="C376" s="34"/>
      <c r="D376" s="927" t="s">
        <v>406</v>
      </c>
      <c r="E376" s="928"/>
      <c r="F376" s="928"/>
      <c r="G376" s="928"/>
      <c r="H376" s="928"/>
      <c r="I376" s="928"/>
      <c r="J376" s="928"/>
      <c r="K376" s="928"/>
      <c r="L376" s="928"/>
      <c r="M376" s="928"/>
      <c r="N376" s="928"/>
      <c r="O376" s="929"/>
    </row>
    <row r="377" spans="1:18">
      <c r="A377" s="57"/>
      <c r="B377" s="57"/>
      <c r="C377" s="639" t="s">
        <v>554</v>
      </c>
      <c r="D377" s="136">
        <f t="shared" ref="D377:O377" si="104">D378*($E$485*($E$486/$F$486)+$E$487*($E$488/$F$488))</f>
        <v>57102.584849316678</v>
      </c>
      <c r="E377" s="136">
        <f t="shared" si="104"/>
        <v>67838.683917456816</v>
      </c>
      <c r="F377" s="136">
        <f t="shared" si="104"/>
        <v>201382.29413193132</v>
      </c>
      <c r="G377" s="136">
        <f t="shared" si="104"/>
        <v>370786.49456297228</v>
      </c>
      <c r="H377" s="136">
        <f t="shared" si="104"/>
        <v>0</v>
      </c>
      <c r="I377" s="136">
        <f t="shared" si="104"/>
        <v>0</v>
      </c>
      <c r="J377" s="136">
        <f t="shared" si="104"/>
        <v>0</v>
      </c>
      <c r="K377" s="136">
        <f t="shared" si="104"/>
        <v>0</v>
      </c>
      <c r="L377" s="136">
        <f t="shared" si="104"/>
        <v>0</v>
      </c>
      <c r="M377" s="136">
        <f t="shared" si="104"/>
        <v>0</v>
      </c>
      <c r="N377" s="136">
        <f t="shared" si="104"/>
        <v>0</v>
      </c>
      <c r="O377" s="136">
        <f t="shared" si="104"/>
        <v>0</v>
      </c>
    </row>
    <row r="378" spans="1:18">
      <c r="A378" s="57"/>
      <c r="B378" s="57"/>
      <c r="C378" s="640" t="s">
        <v>555</v>
      </c>
      <c r="D378" s="117">
        <v>42417</v>
      </c>
      <c r="E378" s="117">
        <v>50392</v>
      </c>
      <c r="F378" s="117">
        <v>149591</v>
      </c>
      <c r="G378" s="117">
        <v>275428</v>
      </c>
      <c r="H378" s="117"/>
      <c r="I378" s="117"/>
      <c r="J378" s="117"/>
      <c r="K378" s="117"/>
      <c r="L378" s="117"/>
      <c r="M378" s="117"/>
      <c r="N378" s="117"/>
      <c r="O378" s="117"/>
    </row>
    <row r="379" spans="1:18">
      <c r="A379" s="57"/>
      <c r="B379" s="57"/>
      <c r="C379" s="34"/>
      <c r="D379" s="927" t="s">
        <v>409</v>
      </c>
      <c r="E379" s="928"/>
      <c r="F379" s="928"/>
      <c r="G379" s="928"/>
      <c r="H379" s="928"/>
      <c r="I379" s="928"/>
      <c r="J379" s="928"/>
      <c r="K379" s="928"/>
      <c r="L379" s="928"/>
      <c r="M379" s="928"/>
      <c r="N379" s="928"/>
      <c r="O379" s="929"/>
    </row>
    <row r="380" spans="1:18">
      <c r="A380" s="57"/>
      <c r="B380" s="57"/>
      <c r="C380" s="713" t="s">
        <v>554</v>
      </c>
      <c r="D380" s="136">
        <f t="shared" ref="D380:O380" si="105">D381*($E$485*($E$486/$F$486)+$E$487*($E$488/$F$488))</f>
        <v>2306729.3020652356</v>
      </c>
      <c r="E380" s="136">
        <f t="shared" si="105"/>
        <v>2306726.6096265977</v>
      </c>
      <c r="F380" s="136">
        <f t="shared" si="105"/>
        <v>2739556.3139392091</v>
      </c>
      <c r="G380" s="136">
        <f t="shared" si="105"/>
        <v>3091933.2593163736</v>
      </c>
      <c r="H380" s="136">
        <f t="shared" si="105"/>
        <v>3819088.2395370165</v>
      </c>
      <c r="I380" s="136">
        <f t="shared" si="105"/>
        <v>4582904.8104689652</v>
      </c>
      <c r="J380" s="136">
        <f t="shared" si="105"/>
        <v>5855934.2236479707</v>
      </c>
      <c r="K380" s="136">
        <f t="shared" si="105"/>
        <v>7383570.0579505051</v>
      </c>
      <c r="L380" s="136">
        <f t="shared" si="105"/>
        <v>8912740.5822765715</v>
      </c>
      <c r="M380" s="136">
        <f t="shared" si="105"/>
        <v>0</v>
      </c>
      <c r="N380" s="136">
        <f t="shared" si="105"/>
        <v>0</v>
      </c>
      <c r="O380" s="136">
        <f t="shared" si="105"/>
        <v>0</v>
      </c>
    </row>
    <row r="381" spans="1:18">
      <c r="A381" s="57"/>
      <c r="B381" s="57"/>
      <c r="C381" s="105" t="s">
        <v>555</v>
      </c>
      <c r="D381" s="117">
        <v>1713487</v>
      </c>
      <c r="E381" s="117">
        <v>1713485</v>
      </c>
      <c r="F381" s="117">
        <v>2035000</v>
      </c>
      <c r="G381" s="117">
        <v>2296753</v>
      </c>
      <c r="H381" s="117">
        <v>2836899</v>
      </c>
      <c r="I381" s="117">
        <v>3404278</v>
      </c>
      <c r="J381" s="117">
        <v>4349911</v>
      </c>
      <c r="K381" s="117">
        <v>5484671</v>
      </c>
      <c r="L381" s="117">
        <v>6620571</v>
      </c>
      <c r="M381" s="117"/>
      <c r="N381" s="117"/>
      <c r="O381" s="117"/>
    </row>
    <row r="382" spans="1:18">
      <c r="A382" s="57"/>
      <c r="B382" s="57"/>
      <c r="C382" s="34"/>
      <c r="D382" s="920" t="s">
        <v>410</v>
      </c>
      <c r="E382" s="920"/>
      <c r="F382" s="920"/>
      <c r="G382" s="920"/>
      <c r="H382" s="920"/>
      <c r="I382" s="920"/>
      <c r="J382" s="920"/>
      <c r="K382" s="920"/>
      <c r="L382" s="920"/>
      <c r="M382" s="920"/>
      <c r="N382" s="920"/>
      <c r="O382" s="920"/>
    </row>
    <row r="383" spans="1:18">
      <c r="A383" s="57"/>
      <c r="B383" s="57"/>
      <c r="C383" s="713" t="s">
        <v>554</v>
      </c>
      <c r="D383" s="136">
        <f t="shared" ref="D383:O383" si="106">D384*($E$485*($E$486/$F$486)+$E$487*($E$488/$F$488))</f>
        <v>16527160.329030171</v>
      </c>
      <c r="E383" s="136">
        <f t="shared" si="106"/>
        <v>16527160.329030171</v>
      </c>
      <c r="F383" s="136">
        <f t="shared" si="106"/>
        <v>19628282.881417282</v>
      </c>
      <c r="G383" s="136">
        <f t="shared" si="106"/>
        <v>22145664.543844316</v>
      </c>
      <c r="H383" s="136">
        <f t="shared" si="106"/>
        <v>27362847.317504451</v>
      </c>
      <c r="I383" s="136">
        <f t="shared" si="106"/>
        <v>27727687.561335891</v>
      </c>
      <c r="J383" s="136">
        <f t="shared" si="106"/>
        <v>32835417.31949307</v>
      </c>
      <c r="K383" s="136">
        <f t="shared" si="106"/>
        <v>41956366.874067657</v>
      </c>
      <c r="L383" s="136">
        <f t="shared" si="106"/>
        <v>53060562.690571636</v>
      </c>
      <c r="M383" s="136">
        <f t="shared" si="106"/>
        <v>0</v>
      </c>
      <c r="N383" s="136">
        <f t="shared" si="106"/>
        <v>0</v>
      </c>
      <c r="O383" s="136">
        <f t="shared" si="106"/>
        <v>0</v>
      </c>
    </row>
    <row r="384" spans="1:18">
      <c r="A384" s="57"/>
      <c r="B384" s="57"/>
      <c r="C384" s="105" t="s">
        <v>555</v>
      </c>
      <c r="D384" s="206">
        <v>12276722</v>
      </c>
      <c r="E384" s="206">
        <v>12276722</v>
      </c>
      <c r="F384" s="206">
        <v>14580301</v>
      </c>
      <c r="G384" s="206">
        <v>16450265</v>
      </c>
      <c r="H384" s="206">
        <v>20325698</v>
      </c>
      <c r="I384" s="638">
        <v>20596709</v>
      </c>
      <c r="J384" s="714">
        <v>24390838</v>
      </c>
      <c r="K384" s="638">
        <v>31166071</v>
      </c>
      <c r="L384" s="714">
        <v>39414501</v>
      </c>
      <c r="M384" s="715"/>
      <c r="N384" s="117"/>
      <c r="O384" s="117"/>
    </row>
    <row r="385" spans="1:15">
      <c r="C385" s="34"/>
      <c r="D385" s="920" t="s">
        <v>411</v>
      </c>
      <c r="E385" s="920"/>
      <c r="F385" s="920"/>
      <c r="G385" s="920"/>
      <c r="H385" s="920"/>
      <c r="I385" s="920"/>
      <c r="J385" s="920"/>
      <c r="K385" s="920"/>
      <c r="L385" s="920"/>
      <c r="M385" s="920"/>
      <c r="N385" s="920"/>
      <c r="O385" s="920"/>
    </row>
    <row r="386" spans="1:15">
      <c r="A386" s="57"/>
      <c r="B386" s="57"/>
      <c r="C386" s="713" t="s">
        <v>554</v>
      </c>
      <c r="D386" s="136">
        <f t="shared" ref="D386:O386" si="107">D387*($E$485*($E$486/$F$486)+$E$487*($E$488/$F$488))</f>
        <v>1346219.3188890463</v>
      </c>
      <c r="E386" s="136">
        <f t="shared" si="107"/>
        <v>1346219.3188890463</v>
      </c>
      <c r="F386" s="136">
        <f t="shared" si="107"/>
        <v>1346219.3188890463</v>
      </c>
      <c r="G386" s="136">
        <f t="shared" si="107"/>
        <v>1346219.3188890463</v>
      </c>
      <c r="H386" s="136">
        <f t="shared" si="107"/>
        <v>1346219.3188890463</v>
      </c>
      <c r="I386" s="136">
        <f t="shared" si="107"/>
        <v>2019328.9783335696</v>
      </c>
      <c r="J386" s="136">
        <f t="shared" si="107"/>
        <v>2019328.9783335696</v>
      </c>
      <c r="K386" s="136">
        <f t="shared" si="107"/>
        <v>2692438.6377780926</v>
      </c>
      <c r="L386" s="136">
        <f t="shared" si="107"/>
        <v>2692438.6377780926</v>
      </c>
      <c r="M386" s="136">
        <f t="shared" si="107"/>
        <v>0</v>
      </c>
      <c r="N386" s="136">
        <f t="shared" si="107"/>
        <v>0</v>
      </c>
      <c r="O386" s="136">
        <f t="shared" si="107"/>
        <v>0</v>
      </c>
    </row>
    <row r="387" spans="1:15">
      <c r="A387" s="57"/>
      <c r="B387" s="57"/>
      <c r="C387" s="105" t="s">
        <v>555</v>
      </c>
      <c r="D387" s="117">
        <v>1000000</v>
      </c>
      <c r="E387" s="117">
        <v>1000000</v>
      </c>
      <c r="F387" s="117">
        <v>1000000</v>
      </c>
      <c r="G387" s="117">
        <v>1000000</v>
      </c>
      <c r="H387" s="117">
        <v>1000000</v>
      </c>
      <c r="I387" s="117">
        <v>1500000</v>
      </c>
      <c r="J387" s="117">
        <f>I387</f>
        <v>1500000</v>
      </c>
      <c r="K387" s="117">
        <v>2000000</v>
      </c>
      <c r="L387" s="117">
        <v>2000000</v>
      </c>
      <c r="M387" s="117"/>
      <c r="N387" s="117"/>
      <c r="O387" s="117"/>
    </row>
    <row r="388" spans="1:15">
      <c r="A388" s="57"/>
      <c r="B388" s="57"/>
      <c r="C388" s="58"/>
      <c r="D388" s="920" t="s">
        <v>113</v>
      </c>
      <c r="E388" s="920"/>
      <c r="F388" s="920"/>
      <c r="G388" s="920"/>
      <c r="H388" s="920"/>
      <c r="I388" s="920"/>
      <c r="J388" s="920"/>
      <c r="K388" s="920"/>
      <c r="L388" s="920"/>
      <c r="M388" s="920"/>
      <c r="N388" s="920"/>
      <c r="O388" s="920"/>
    </row>
    <row r="389" spans="1:15">
      <c r="A389" s="57"/>
      <c r="B389" s="57"/>
      <c r="C389" s="713" t="s">
        <v>554</v>
      </c>
      <c r="D389" s="136">
        <f t="shared" ref="D389:O389" si="108">D390*($E$485*($E$486/$F$486)+$E$487*($E$488/$F$488))</f>
        <v>294598.55842976557</v>
      </c>
      <c r="E389" s="136">
        <f t="shared" si="108"/>
        <v>324057.87578501459</v>
      </c>
      <c r="F389" s="136">
        <f t="shared" si="108"/>
        <v>353518.53935958247</v>
      </c>
      <c r="G389" s="136">
        <f t="shared" si="108"/>
        <v>382977.85671483143</v>
      </c>
      <c r="H389" s="136">
        <f t="shared" si="108"/>
        <v>412346.97737571487</v>
      </c>
      <c r="I389" s="136">
        <f t="shared" si="108"/>
        <v>441896.49142532947</v>
      </c>
      <c r="J389" s="136">
        <f t="shared" si="108"/>
        <v>471357.15499989735</v>
      </c>
      <c r="K389" s="136">
        <f t="shared" si="108"/>
        <v>501062.83049050305</v>
      </c>
      <c r="L389" s="136">
        <f t="shared" si="108"/>
        <v>530275.78971039539</v>
      </c>
      <c r="M389" s="136">
        <f t="shared" si="108"/>
        <v>0</v>
      </c>
      <c r="N389" s="136">
        <f t="shared" si="108"/>
        <v>0</v>
      </c>
      <c r="O389" s="136">
        <f t="shared" si="108"/>
        <v>0</v>
      </c>
    </row>
    <row r="390" spans="1:15">
      <c r="A390" s="57"/>
      <c r="B390" s="57"/>
      <c r="C390" s="105" t="s">
        <v>555</v>
      </c>
      <c r="D390" s="117">
        <v>218834</v>
      </c>
      <c r="E390" s="117">
        <v>240717</v>
      </c>
      <c r="F390" s="117">
        <v>262601</v>
      </c>
      <c r="G390" s="117">
        <v>284484</v>
      </c>
      <c r="H390" s="117">
        <v>306300</v>
      </c>
      <c r="I390" s="117">
        <v>328250</v>
      </c>
      <c r="J390" s="117">
        <v>350134</v>
      </c>
      <c r="K390" s="117">
        <v>372200</v>
      </c>
      <c r="L390" s="117">
        <v>393900</v>
      </c>
      <c r="M390" s="117"/>
      <c r="N390" s="117"/>
      <c r="O390" s="117"/>
    </row>
    <row r="391" spans="1:15">
      <c r="A391" s="57"/>
      <c r="B391" s="57"/>
      <c r="C391" s="58"/>
      <c r="D391" s="920" t="s">
        <v>568</v>
      </c>
      <c r="E391" s="920"/>
      <c r="F391" s="920"/>
      <c r="G391" s="920"/>
      <c r="H391" s="920"/>
      <c r="I391" s="920"/>
      <c r="J391" s="920"/>
      <c r="K391" s="920"/>
      <c r="L391" s="920"/>
      <c r="M391" s="920"/>
      <c r="N391" s="920"/>
      <c r="O391" s="920"/>
    </row>
    <row r="392" spans="1:15">
      <c r="A392" s="57"/>
      <c r="B392" s="57"/>
      <c r="C392" s="713" t="s">
        <v>554</v>
      </c>
      <c r="D392" s="136">
        <f t="shared" ref="D392:O392" si="109">D393*($E$485*($E$486/$F$486)+$E$487*($E$488/$F$488))</f>
        <v>308024.40369704604</v>
      </c>
      <c r="E392" s="136">
        <f t="shared" si="109"/>
        <v>513374.00616174337</v>
      </c>
      <c r="F392" s="136">
        <f t="shared" si="109"/>
        <v>787173.47611467319</v>
      </c>
      <c r="G392" s="136">
        <f t="shared" si="109"/>
        <v>1882370.0097070734</v>
      </c>
      <c r="H392" s="136">
        <f t="shared" si="109"/>
        <v>0</v>
      </c>
      <c r="I392" s="136">
        <f t="shared" si="109"/>
        <v>0</v>
      </c>
      <c r="J392" s="136">
        <f t="shared" si="109"/>
        <v>0</v>
      </c>
      <c r="K392" s="136">
        <f t="shared" si="109"/>
        <v>0</v>
      </c>
      <c r="L392" s="136">
        <f t="shared" si="109"/>
        <v>0</v>
      </c>
      <c r="M392" s="136">
        <f t="shared" si="109"/>
        <v>0</v>
      </c>
      <c r="N392" s="136">
        <f t="shared" si="109"/>
        <v>0</v>
      </c>
      <c r="O392" s="136">
        <f t="shared" si="109"/>
        <v>0</v>
      </c>
    </row>
    <row r="393" spans="1:15">
      <c r="A393" s="57"/>
      <c r="B393" s="57"/>
      <c r="C393" s="105" t="s">
        <v>555</v>
      </c>
      <c r="D393" s="117">
        <v>228807</v>
      </c>
      <c r="E393" s="117">
        <v>381345</v>
      </c>
      <c r="F393" s="117">
        <v>584729</v>
      </c>
      <c r="G393" s="117">
        <v>1398264</v>
      </c>
      <c r="H393" s="117"/>
      <c r="I393" s="117"/>
      <c r="J393" s="117"/>
      <c r="K393" s="117"/>
      <c r="L393" s="117"/>
      <c r="M393" s="117"/>
      <c r="N393" s="117"/>
      <c r="O393" s="117"/>
    </row>
    <row r="394" spans="1:15">
      <c r="C394" s="58"/>
      <c r="D394" s="920" t="s">
        <v>128</v>
      </c>
      <c r="E394" s="920"/>
      <c r="F394" s="920"/>
      <c r="G394" s="920"/>
      <c r="H394" s="920"/>
      <c r="I394" s="920"/>
      <c r="J394" s="920"/>
      <c r="K394" s="920"/>
      <c r="L394" s="920"/>
      <c r="M394" s="920"/>
      <c r="N394" s="920"/>
      <c r="O394" s="920"/>
    </row>
    <row r="395" spans="1:15">
      <c r="C395" s="713" t="s">
        <v>554</v>
      </c>
      <c r="D395" s="136">
        <f t="shared" ref="D395:O395" si="110">D396*($E$485*($E$486/$F$486)+$E$487*($E$488/$F$488))</f>
        <v>277859.66741869919</v>
      </c>
      <c r="E395" s="136">
        <f t="shared" si="110"/>
        <v>277859.66741869919</v>
      </c>
      <c r="F395" s="136">
        <f t="shared" si="110"/>
        <v>305645.63416056905</v>
      </c>
      <c r="G395" s="136">
        <f t="shared" si="110"/>
        <v>305645.63416056905</v>
      </c>
      <c r="H395" s="136">
        <f t="shared" si="110"/>
        <v>417058.74499182653</v>
      </c>
      <c r="I395" s="136">
        <f t="shared" si="110"/>
        <v>500147.40135365847</v>
      </c>
      <c r="J395" s="136">
        <f t="shared" si="110"/>
        <v>500147.40135365847</v>
      </c>
      <c r="K395" s="136">
        <f t="shared" si="110"/>
        <v>500147.40135365847</v>
      </c>
      <c r="L395" s="136">
        <f t="shared" si="110"/>
        <v>500147.40135365847</v>
      </c>
      <c r="M395" s="136">
        <f t="shared" si="110"/>
        <v>0</v>
      </c>
      <c r="N395" s="136">
        <f t="shared" si="110"/>
        <v>0</v>
      </c>
      <c r="O395" s="136">
        <f t="shared" si="110"/>
        <v>0</v>
      </c>
    </row>
    <row r="396" spans="1:15">
      <c r="C396" s="105" t="s">
        <v>555</v>
      </c>
      <c r="D396" s="117">
        <v>206400</v>
      </c>
      <c r="E396" s="117">
        <v>206400</v>
      </c>
      <c r="F396" s="117">
        <v>227040</v>
      </c>
      <c r="G396" s="117">
        <v>227040</v>
      </c>
      <c r="H396" s="117">
        <v>309800</v>
      </c>
      <c r="I396" s="117">
        <v>371520</v>
      </c>
      <c r="J396" s="117">
        <v>371520</v>
      </c>
      <c r="K396" s="117">
        <v>371520</v>
      </c>
      <c r="L396" s="117">
        <v>371520</v>
      </c>
      <c r="M396" s="117"/>
      <c r="N396" s="117"/>
      <c r="O396" s="117"/>
    </row>
    <row r="397" spans="1:15">
      <c r="C397" s="58"/>
      <c r="D397" s="920" t="s">
        <v>129</v>
      </c>
      <c r="E397" s="920"/>
      <c r="F397" s="920"/>
      <c r="G397" s="920"/>
      <c r="H397" s="920"/>
      <c r="I397" s="920"/>
      <c r="J397" s="920"/>
      <c r="K397" s="920"/>
      <c r="L397" s="920"/>
      <c r="M397" s="920"/>
      <c r="N397" s="920"/>
      <c r="O397" s="920"/>
    </row>
    <row r="398" spans="1:15">
      <c r="C398" s="713" t="s">
        <v>554</v>
      </c>
      <c r="D398" s="136">
        <f>D399*1.15</f>
        <v>184000</v>
      </c>
      <c r="E398" s="136">
        <f t="shared" ref="E398:G398" si="111">E399*1.15</f>
        <v>184000</v>
      </c>
      <c r="F398" s="136">
        <f t="shared" si="111"/>
        <v>184000</v>
      </c>
      <c r="G398" s="136">
        <f t="shared" si="111"/>
        <v>184000</v>
      </c>
      <c r="H398" s="136">
        <f t="shared" ref="H398" si="112">H399*1.15</f>
        <v>220799.99999999997</v>
      </c>
      <c r="I398" s="136">
        <f t="shared" ref="I398" si="113">I399*1.15</f>
        <v>220799.99999999997</v>
      </c>
      <c r="J398" s="136">
        <f t="shared" ref="J398" si="114">J399*1.15</f>
        <v>220799.99999999997</v>
      </c>
      <c r="K398" s="136">
        <f t="shared" ref="K398" si="115">K399*1.15</f>
        <v>220799.99999999997</v>
      </c>
      <c r="L398" s="136">
        <f t="shared" ref="L398:O398" si="116">L399*($E$485*($E$486/$F$486)+$E$487*($E$488/$F$488))</f>
        <v>0</v>
      </c>
      <c r="M398" s="136">
        <f t="shared" si="116"/>
        <v>0</v>
      </c>
      <c r="N398" s="136">
        <f t="shared" si="116"/>
        <v>0</v>
      </c>
      <c r="O398" s="136">
        <f t="shared" si="116"/>
        <v>0</v>
      </c>
    </row>
    <row r="399" spans="1:15">
      <c r="C399" s="105" t="s">
        <v>555</v>
      </c>
      <c r="D399" s="117">
        <v>160000</v>
      </c>
      <c r="E399" s="117">
        <v>160000</v>
      </c>
      <c r="F399" s="117">
        <v>160000</v>
      </c>
      <c r="G399" s="117">
        <v>160000</v>
      </c>
      <c r="H399" s="117">
        <v>192000</v>
      </c>
      <c r="I399" s="117">
        <v>192000</v>
      </c>
      <c r="J399" s="117">
        <v>192000</v>
      </c>
      <c r="K399" s="117">
        <v>192000</v>
      </c>
      <c r="L399" s="117"/>
      <c r="M399" s="117"/>
      <c r="N399" s="117"/>
      <c r="O399" s="117"/>
    </row>
    <row r="400" spans="1:15">
      <c r="C400" s="58"/>
      <c r="D400" s="920" t="s">
        <v>77</v>
      </c>
      <c r="E400" s="920"/>
      <c r="F400" s="920"/>
      <c r="G400" s="920"/>
      <c r="H400" s="920"/>
      <c r="I400" s="920"/>
      <c r="J400" s="920"/>
      <c r="K400" s="920"/>
      <c r="L400" s="920"/>
      <c r="M400" s="920"/>
      <c r="N400" s="920"/>
      <c r="O400" s="920"/>
    </row>
    <row r="401" spans="3:15">
      <c r="C401" s="713" t="s">
        <v>554</v>
      </c>
      <c r="D401" s="136">
        <f t="shared" ref="D401:O401" si="117">D402*($E$485*($E$486/$F$486)+$E$487*($E$488/$F$488))</f>
        <v>465791.88433561003</v>
      </c>
      <c r="E401" s="136">
        <f t="shared" si="117"/>
        <v>465791.88433561003</v>
      </c>
      <c r="F401" s="136">
        <f t="shared" si="117"/>
        <v>465791.88433561003</v>
      </c>
      <c r="G401" s="136">
        <f t="shared" si="117"/>
        <v>465791.88433561003</v>
      </c>
      <c r="H401" s="136">
        <f t="shared" si="117"/>
        <v>465791.88433561003</v>
      </c>
      <c r="I401" s="136">
        <f t="shared" si="117"/>
        <v>465791.88433561003</v>
      </c>
      <c r="J401" s="136">
        <f t="shared" si="117"/>
        <v>465791.88433561003</v>
      </c>
      <c r="K401" s="136">
        <f t="shared" si="117"/>
        <v>465791.88433561003</v>
      </c>
      <c r="L401" s="136">
        <f t="shared" si="117"/>
        <v>0</v>
      </c>
      <c r="M401" s="136">
        <f t="shared" si="117"/>
        <v>0</v>
      </c>
      <c r="N401" s="136">
        <f t="shared" si="117"/>
        <v>0</v>
      </c>
      <c r="O401" s="136">
        <f t="shared" si="117"/>
        <v>0</v>
      </c>
    </row>
    <row r="402" spans="3:15">
      <c r="C402" s="105" t="s">
        <v>555</v>
      </c>
      <c r="D402" s="117">
        <v>346000</v>
      </c>
      <c r="E402" s="117">
        <v>346000</v>
      </c>
      <c r="F402" s="117">
        <v>346000</v>
      </c>
      <c r="G402" s="117">
        <v>346000</v>
      </c>
      <c r="H402" s="117">
        <v>346000</v>
      </c>
      <c r="I402" s="117">
        <v>346000</v>
      </c>
      <c r="J402" s="117">
        <v>346000</v>
      </c>
      <c r="K402" s="117">
        <v>346000</v>
      </c>
      <c r="L402" s="117"/>
      <c r="M402" s="117"/>
      <c r="N402" s="117"/>
      <c r="O402" s="117"/>
    </row>
    <row r="403" spans="3:15">
      <c r="C403" s="58"/>
      <c r="D403" s="920" t="s">
        <v>130</v>
      </c>
      <c r="E403" s="920"/>
      <c r="F403" s="920"/>
      <c r="G403" s="920"/>
      <c r="H403" s="920"/>
      <c r="I403" s="920"/>
      <c r="J403" s="920"/>
      <c r="K403" s="920"/>
      <c r="L403" s="920"/>
      <c r="M403" s="920"/>
      <c r="N403" s="920"/>
      <c r="O403" s="920"/>
    </row>
    <row r="404" spans="3:15">
      <c r="C404" s="713" t="s">
        <v>554</v>
      </c>
      <c r="D404" s="136">
        <f t="shared" ref="D404:O404" si="118">D405*($E$485*($E$486/$F$486)+$E$487*($E$488/$F$488))</f>
        <v>2019328.9783335696</v>
      </c>
      <c r="E404" s="136">
        <f t="shared" si="118"/>
        <v>2019328.9783335696</v>
      </c>
      <c r="F404" s="136">
        <f t="shared" si="118"/>
        <v>2019328.9783335696</v>
      </c>
      <c r="G404" s="136">
        <f t="shared" si="118"/>
        <v>2625127.6718336404</v>
      </c>
      <c r="H404" s="136">
        <f t="shared" si="118"/>
        <v>3028993.4675003542</v>
      </c>
      <c r="I404" s="136">
        <f t="shared" si="118"/>
        <v>3028993.4675003542</v>
      </c>
      <c r="J404" s="136">
        <f t="shared" si="118"/>
        <v>3028993.4675003542</v>
      </c>
      <c r="K404" s="136">
        <f t="shared" si="118"/>
        <v>3028993.4675003542</v>
      </c>
      <c r="L404" s="136">
        <f t="shared" si="118"/>
        <v>0</v>
      </c>
      <c r="M404" s="136">
        <f t="shared" si="118"/>
        <v>0</v>
      </c>
      <c r="N404" s="136">
        <f t="shared" si="118"/>
        <v>0</v>
      </c>
      <c r="O404" s="136">
        <f t="shared" si="118"/>
        <v>0</v>
      </c>
    </row>
    <row r="405" spans="3:15">
      <c r="C405" s="105" t="s">
        <v>555</v>
      </c>
      <c r="D405" s="117">
        <v>1500000</v>
      </c>
      <c r="E405" s="117">
        <v>1500000</v>
      </c>
      <c r="F405" s="117">
        <v>1500000</v>
      </c>
      <c r="G405" s="117">
        <v>1950000</v>
      </c>
      <c r="H405" s="117">
        <v>2250000</v>
      </c>
      <c r="I405" s="117">
        <v>2250000</v>
      </c>
      <c r="J405" s="117">
        <v>2250000</v>
      </c>
      <c r="K405" s="117">
        <v>2250000</v>
      </c>
      <c r="L405" s="117"/>
      <c r="M405" s="117"/>
      <c r="N405" s="117"/>
      <c r="O405" s="117"/>
    </row>
    <row r="406" spans="3:15">
      <c r="C406" s="58"/>
      <c r="D406" s="920" t="s">
        <v>569</v>
      </c>
      <c r="E406" s="920"/>
      <c r="F406" s="920"/>
      <c r="G406" s="920"/>
      <c r="H406" s="920"/>
      <c r="I406" s="920"/>
      <c r="J406" s="920"/>
      <c r="K406" s="920"/>
      <c r="L406" s="920"/>
      <c r="M406" s="920"/>
      <c r="N406" s="920"/>
      <c r="O406" s="920"/>
    </row>
    <row r="407" spans="3:15">
      <c r="C407" s="713" t="s">
        <v>554</v>
      </c>
      <c r="D407" s="136">
        <f t="shared" ref="D407:O407" si="119">D408*($E$485*($E$486/$F$486)+$E$487*($E$488/$F$488))</f>
        <v>2019328.9783335696</v>
      </c>
      <c r="E407" s="136">
        <f t="shared" si="119"/>
        <v>2019328.9783335696</v>
      </c>
      <c r="F407" s="136">
        <f t="shared" si="119"/>
        <v>2019328.9783335696</v>
      </c>
      <c r="G407" s="136">
        <f t="shared" si="119"/>
        <v>3028993.4675003542</v>
      </c>
      <c r="H407" s="136">
        <f t="shared" si="119"/>
        <v>3028993.4675003542</v>
      </c>
      <c r="I407" s="136">
        <f t="shared" si="119"/>
        <v>3028993.4675003542</v>
      </c>
      <c r="J407" s="136">
        <f t="shared" si="119"/>
        <v>3028993.4675003542</v>
      </c>
      <c r="K407" s="136">
        <f t="shared" si="119"/>
        <v>3028993.4675003542</v>
      </c>
      <c r="L407" s="136">
        <f t="shared" si="119"/>
        <v>0</v>
      </c>
      <c r="M407" s="136">
        <f t="shared" si="119"/>
        <v>0</v>
      </c>
      <c r="N407" s="136">
        <f t="shared" si="119"/>
        <v>0</v>
      </c>
      <c r="O407" s="136">
        <f t="shared" si="119"/>
        <v>0</v>
      </c>
    </row>
    <row r="408" spans="3:15">
      <c r="C408" s="105" t="s">
        <v>555</v>
      </c>
      <c r="D408" s="117">
        <v>1500000</v>
      </c>
      <c r="E408" s="117">
        <v>1500000</v>
      </c>
      <c r="F408" s="117">
        <v>1500000</v>
      </c>
      <c r="G408" s="117">
        <v>2250000</v>
      </c>
      <c r="H408" s="117">
        <v>2250000</v>
      </c>
      <c r="I408" s="117">
        <v>2250000</v>
      </c>
      <c r="J408" s="117">
        <v>2250000</v>
      </c>
      <c r="K408" s="117">
        <v>2250000</v>
      </c>
      <c r="L408" s="117"/>
      <c r="M408" s="117"/>
      <c r="N408" s="117"/>
      <c r="O408" s="117"/>
    </row>
    <row r="409" spans="3:15" s="57" customFormat="1">
      <c r="C409" s="58"/>
      <c r="D409" s="920" t="s">
        <v>575</v>
      </c>
      <c r="E409" s="920"/>
      <c r="F409" s="920"/>
      <c r="G409" s="920"/>
      <c r="H409" s="920"/>
      <c r="I409" s="920"/>
      <c r="J409" s="920"/>
      <c r="K409" s="920"/>
      <c r="L409" s="920"/>
      <c r="M409" s="920"/>
      <c r="N409" s="920"/>
      <c r="O409" s="920"/>
    </row>
    <row r="410" spans="3:15" s="57" customFormat="1">
      <c r="C410" s="713" t="s">
        <v>554</v>
      </c>
      <c r="D410" s="136">
        <f t="shared" ref="D410:O410" si="120">D411*($E$485*($E$486/$F$486)+$E$487*($E$488/$F$488))</f>
        <v>201932.89783335695</v>
      </c>
      <c r="E410" s="136">
        <f t="shared" si="120"/>
        <v>201932.89783335695</v>
      </c>
      <c r="F410" s="136">
        <f t="shared" si="120"/>
        <v>201932.89783335695</v>
      </c>
      <c r="G410" s="136">
        <f t="shared" si="120"/>
        <v>269243.86377780925</v>
      </c>
      <c r="H410" s="136">
        <f t="shared" si="120"/>
        <v>269243.86377780925</v>
      </c>
      <c r="I410" s="136">
        <f t="shared" si="120"/>
        <v>336554.82972226158</v>
      </c>
      <c r="J410" s="136">
        <f t="shared" si="120"/>
        <v>336554.82972226158</v>
      </c>
      <c r="K410" s="136">
        <f t="shared" si="120"/>
        <v>336554.82972226158</v>
      </c>
      <c r="L410" s="136">
        <f t="shared" si="120"/>
        <v>336554.82972226158</v>
      </c>
      <c r="M410" s="136">
        <f t="shared" si="120"/>
        <v>0</v>
      </c>
      <c r="N410" s="136">
        <f t="shared" si="120"/>
        <v>0</v>
      </c>
      <c r="O410" s="136">
        <f t="shared" si="120"/>
        <v>0</v>
      </c>
    </row>
    <row r="411" spans="3:15" s="57" customFormat="1">
      <c r="C411" s="105" t="s">
        <v>555</v>
      </c>
      <c r="D411" s="321">
        <v>150000</v>
      </c>
      <c r="E411" s="321">
        <v>150000</v>
      </c>
      <c r="F411" s="321">
        <v>150000</v>
      </c>
      <c r="G411" s="321">
        <v>200000</v>
      </c>
      <c r="H411" s="321">
        <v>200000</v>
      </c>
      <c r="I411" s="321">
        <v>250000</v>
      </c>
      <c r="J411" s="321">
        <v>250000</v>
      </c>
      <c r="K411" s="321">
        <v>250000</v>
      </c>
      <c r="L411" s="321">
        <v>250000</v>
      </c>
      <c r="M411" s="321"/>
      <c r="N411" s="321"/>
      <c r="O411" s="321"/>
    </row>
    <row r="412" spans="3:15" s="57" customFormat="1">
      <c r="C412" s="58"/>
      <c r="D412" s="920" t="s">
        <v>576</v>
      </c>
      <c r="E412" s="920"/>
      <c r="F412" s="920"/>
      <c r="G412" s="920"/>
      <c r="H412" s="920"/>
      <c r="I412" s="920"/>
      <c r="J412" s="920"/>
      <c r="K412" s="920"/>
      <c r="L412" s="920"/>
      <c r="M412" s="920"/>
      <c r="N412" s="920"/>
      <c r="O412" s="920"/>
    </row>
    <row r="413" spans="3:15" s="57" customFormat="1">
      <c r="C413" s="713" t="s">
        <v>554</v>
      </c>
      <c r="D413" s="136">
        <f t="shared" ref="D413:O413" si="121">D414*($E$485*($E$486/$F$486)+$E$487*($E$488/$F$488))</f>
        <v>0</v>
      </c>
      <c r="E413" s="136">
        <f t="shared" si="121"/>
        <v>0</v>
      </c>
      <c r="F413" s="136">
        <f>F414*1.05</f>
        <v>105000</v>
      </c>
      <c r="G413" s="136">
        <f t="shared" ref="G413:L413" si="122">G414*1.05</f>
        <v>105000</v>
      </c>
      <c r="H413" s="136">
        <f t="shared" si="122"/>
        <v>157500</v>
      </c>
      <c r="I413" s="136">
        <f t="shared" si="122"/>
        <v>157500</v>
      </c>
      <c r="J413" s="136">
        <f t="shared" si="122"/>
        <v>157500</v>
      </c>
      <c r="K413" s="136">
        <f t="shared" si="122"/>
        <v>157500</v>
      </c>
      <c r="L413" s="136">
        <f t="shared" si="122"/>
        <v>157500</v>
      </c>
      <c r="M413" s="136">
        <f t="shared" si="121"/>
        <v>0</v>
      </c>
      <c r="N413" s="136">
        <f t="shared" si="121"/>
        <v>0</v>
      </c>
      <c r="O413" s="136">
        <f t="shared" si="121"/>
        <v>0</v>
      </c>
    </row>
    <row r="414" spans="3:15" s="57" customFormat="1">
      <c r="C414" s="105" t="s">
        <v>555</v>
      </c>
      <c r="D414" s="321"/>
      <c r="E414" s="321"/>
      <c r="F414" s="321">
        <v>100000</v>
      </c>
      <c r="G414" s="321">
        <v>100000</v>
      </c>
      <c r="H414" s="321">
        <v>150000</v>
      </c>
      <c r="I414" s="321">
        <v>150000</v>
      </c>
      <c r="J414" s="321">
        <v>150000</v>
      </c>
      <c r="K414" s="321">
        <v>150000</v>
      </c>
      <c r="L414" s="321">
        <v>150000</v>
      </c>
      <c r="M414" s="321"/>
      <c r="N414" s="321"/>
      <c r="O414" s="321"/>
    </row>
    <row r="415" spans="3:15" s="57" customFormat="1">
      <c r="C415" s="58"/>
      <c r="D415" s="920" t="s">
        <v>577</v>
      </c>
      <c r="E415" s="920"/>
      <c r="F415" s="920"/>
      <c r="G415" s="920"/>
      <c r="H415" s="920"/>
      <c r="I415" s="920"/>
      <c r="J415" s="920"/>
      <c r="K415" s="920"/>
      <c r="L415" s="920"/>
      <c r="M415" s="920"/>
      <c r="N415" s="920"/>
      <c r="O415" s="920"/>
    </row>
    <row r="416" spans="3:15" s="57" customFormat="1">
      <c r="C416" s="713" t="s">
        <v>554</v>
      </c>
      <c r="D416" s="136">
        <f t="shared" ref="D416:O416" si="123">D417*($E$485*($E$486/$F$486)+$E$487*($E$488/$F$488))</f>
        <v>0</v>
      </c>
      <c r="E416" s="136">
        <f t="shared" si="123"/>
        <v>0</v>
      </c>
      <c r="F416" s="136">
        <f t="shared" si="123"/>
        <v>215395.09102224742</v>
      </c>
      <c r="G416" s="136">
        <f t="shared" si="123"/>
        <v>215395.09102224742</v>
      </c>
      <c r="H416" s="136">
        <f t="shared" si="123"/>
        <v>215395.09102224742</v>
      </c>
      <c r="I416" s="136">
        <f t="shared" si="123"/>
        <v>323092.63653337111</v>
      </c>
      <c r="J416" s="136">
        <f t="shared" si="123"/>
        <v>323092.63653337111</v>
      </c>
      <c r="K416" s="136">
        <f t="shared" si="123"/>
        <v>323092.63653337111</v>
      </c>
      <c r="L416" s="136">
        <f t="shared" si="123"/>
        <v>323092.63653337111</v>
      </c>
      <c r="M416" s="136">
        <f t="shared" si="123"/>
        <v>0</v>
      </c>
      <c r="N416" s="136">
        <f t="shared" si="123"/>
        <v>0</v>
      </c>
      <c r="O416" s="136">
        <f t="shared" si="123"/>
        <v>0</v>
      </c>
    </row>
    <row r="417" spans="3:16" s="57" customFormat="1">
      <c r="C417" s="105" t="s">
        <v>555</v>
      </c>
      <c r="D417" s="321"/>
      <c r="E417" s="321"/>
      <c r="F417" s="321">
        <v>160000</v>
      </c>
      <c r="G417" s="321">
        <v>160000</v>
      </c>
      <c r="H417" s="321">
        <v>160000</v>
      </c>
      <c r="I417" s="321">
        <v>240000</v>
      </c>
      <c r="J417" s="321">
        <v>240000</v>
      </c>
      <c r="K417" s="321">
        <v>240000</v>
      </c>
      <c r="L417" s="321">
        <v>240000</v>
      </c>
      <c r="M417" s="321"/>
      <c r="N417" s="321"/>
      <c r="O417" s="321"/>
    </row>
    <row r="418" spans="3:16">
      <c r="C418" s="58"/>
      <c r="D418" s="920" t="s">
        <v>570</v>
      </c>
      <c r="E418" s="920"/>
      <c r="F418" s="920"/>
      <c r="G418" s="920"/>
      <c r="H418" s="920"/>
      <c r="I418" s="920"/>
      <c r="J418" s="920"/>
      <c r="K418" s="920"/>
      <c r="L418" s="920"/>
      <c r="M418" s="920"/>
      <c r="N418" s="920"/>
      <c r="O418" s="920"/>
    </row>
    <row r="419" spans="3:16">
      <c r="C419" s="713" t="s">
        <v>554</v>
      </c>
      <c r="D419" s="136">
        <f t="shared" ref="D419:O419" si="124">D420*($E$485*($E$486/$F$486)+$E$487*($E$488/$F$488))</f>
        <v>7269.5843220008501</v>
      </c>
      <c r="E419" s="136">
        <f t="shared" si="124"/>
        <v>7269.5843220008501</v>
      </c>
      <c r="F419" s="136">
        <f t="shared" si="124"/>
        <v>19627.877669402296</v>
      </c>
      <c r="G419" s="136">
        <f t="shared" si="124"/>
        <v>19627.877669402296</v>
      </c>
      <c r="H419" s="136">
        <f t="shared" si="124"/>
        <v>34894.004745604077</v>
      </c>
      <c r="I419" s="136">
        <f t="shared" si="124"/>
        <v>34894.004745604077</v>
      </c>
      <c r="J419" s="136">
        <f t="shared" si="124"/>
        <v>54521.882415006374</v>
      </c>
      <c r="K419" s="136">
        <f t="shared" si="124"/>
        <v>54521.882415006374</v>
      </c>
      <c r="L419" s="136">
        <f t="shared" si="124"/>
        <v>54521.882415006374</v>
      </c>
      <c r="M419" s="136">
        <f t="shared" si="124"/>
        <v>0</v>
      </c>
      <c r="N419" s="136">
        <f t="shared" si="124"/>
        <v>0</v>
      </c>
      <c r="O419" s="136">
        <f t="shared" si="124"/>
        <v>0</v>
      </c>
    </row>
    <row r="420" spans="3:16">
      <c r="C420" s="105" t="s">
        <v>555</v>
      </c>
      <c r="D420" s="321">
        <v>5400</v>
      </c>
      <c r="E420" s="321">
        <v>5400</v>
      </c>
      <c r="F420" s="321">
        <v>14580</v>
      </c>
      <c r="G420" s="321">
        <v>14580</v>
      </c>
      <c r="H420" s="321">
        <v>25920</v>
      </c>
      <c r="I420" s="321">
        <v>25920</v>
      </c>
      <c r="J420" s="321">
        <v>40500</v>
      </c>
      <c r="K420" s="321">
        <v>40500</v>
      </c>
      <c r="L420" s="321">
        <v>40500</v>
      </c>
      <c r="M420" s="321"/>
      <c r="N420" s="321"/>
      <c r="O420" s="321"/>
      <c r="P420" s="325"/>
    </row>
    <row r="421" spans="3:16">
      <c r="C421" s="58"/>
      <c r="D421" s="920" t="s">
        <v>137</v>
      </c>
      <c r="E421" s="920"/>
      <c r="F421" s="920"/>
      <c r="G421" s="920"/>
      <c r="H421" s="920"/>
      <c r="I421" s="920"/>
      <c r="J421" s="920"/>
      <c r="K421" s="920"/>
      <c r="L421" s="920"/>
      <c r="M421" s="920"/>
      <c r="N421" s="920"/>
      <c r="O421" s="920"/>
    </row>
    <row r="422" spans="3:16">
      <c r="C422" s="713" t="s">
        <v>554</v>
      </c>
      <c r="D422" s="136">
        <f t="shared" ref="D422:O422" si="125">D423*($E$485*($E$486/$F$486)+$E$487*($E$488/$F$488))</f>
        <v>20596.051679160919</v>
      </c>
      <c r="E422" s="136">
        <f t="shared" si="125"/>
        <v>20596.051679160919</v>
      </c>
      <c r="F422" s="136">
        <f t="shared" si="125"/>
        <v>20596.051679160919</v>
      </c>
      <c r="G422" s="136">
        <f t="shared" si="125"/>
        <v>32862.398247082238</v>
      </c>
      <c r="H422" s="136">
        <f t="shared" si="125"/>
        <v>32862.398247082238</v>
      </c>
      <c r="I422" s="136">
        <f t="shared" si="125"/>
        <v>32862.398247082238</v>
      </c>
      <c r="J422" s="136">
        <f t="shared" si="125"/>
        <v>32862.398247082238</v>
      </c>
      <c r="K422" s="136">
        <f t="shared" si="125"/>
        <v>47981.383551729457</v>
      </c>
      <c r="L422" s="136">
        <f t="shared" si="125"/>
        <v>47981.383551729457</v>
      </c>
      <c r="M422" s="136">
        <f t="shared" si="125"/>
        <v>0</v>
      </c>
      <c r="N422" s="136">
        <f t="shared" si="125"/>
        <v>0</v>
      </c>
      <c r="O422" s="136">
        <f t="shared" si="125"/>
        <v>0</v>
      </c>
    </row>
    <row r="423" spans="3:16">
      <c r="C423" s="105" t="s">
        <v>555</v>
      </c>
      <c r="D423" s="321">
        <v>15299.18</v>
      </c>
      <c r="E423" s="321">
        <v>15299.18</v>
      </c>
      <c r="F423" s="321">
        <v>15299.18</v>
      </c>
      <c r="G423" s="321">
        <v>24410.879999999997</v>
      </c>
      <c r="H423" s="321">
        <v>24410.879999999997</v>
      </c>
      <c r="I423" s="321">
        <v>24410.879999999997</v>
      </c>
      <c r="J423" s="321">
        <v>24410.879999999997</v>
      </c>
      <c r="K423" s="321">
        <v>35641.58</v>
      </c>
      <c r="L423" s="321">
        <v>35641.58</v>
      </c>
      <c r="M423" s="321"/>
      <c r="N423" s="321"/>
      <c r="O423" s="321"/>
    </row>
    <row r="424" spans="3:16">
      <c r="C424" s="58"/>
      <c r="D424" s="920" t="s">
        <v>571</v>
      </c>
      <c r="E424" s="920"/>
      <c r="F424" s="920"/>
      <c r="G424" s="920"/>
      <c r="H424" s="920"/>
      <c r="I424" s="920"/>
      <c r="J424" s="920"/>
      <c r="K424" s="920"/>
      <c r="L424" s="920"/>
      <c r="M424" s="920"/>
      <c r="N424" s="920"/>
      <c r="O424" s="920"/>
    </row>
    <row r="425" spans="3:16">
      <c r="C425" s="713" t="s">
        <v>554</v>
      </c>
      <c r="D425" s="136">
        <f t="shared" ref="D425:O425" si="126">D426*($E$485*($E$486/$F$486)+$E$487*($E$488/$F$488))</f>
        <v>134621.93188890463</v>
      </c>
      <c r="E425" s="136">
        <f t="shared" si="126"/>
        <v>134621.93188890463</v>
      </c>
      <c r="F425" s="136">
        <f t="shared" si="126"/>
        <v>269243.86377780925</v>
      </c>
      <c r="G425" s="136">
        <f t="shared" si="126"/>
        <v>269243.86377780925</v>
      </c>
      <c r="H425" s="136">
        <f t="shared" si="126"/>
        <v>0</v>
      </c>
      <c r="I425" s="136">
        <f t="shared" si="126"/>
        <v>0</v>
      </c>
      <c r="J425" s="136">
        <f t="shared" si="126"/>
        <v>0</v>
      </c>
      <c r="K425" s="136">
        <f t="shared" si="126"/>
        <v>0</v>
      </c>
      <c r="L425" s="136">
        <f t="shared" si="126"/>
        <v>0</v>
      </c>
      <c r="M425" s="136">
        <f t="shared" si="126"/>
        <v>0</v>
      </c>
      <c r="N425" s="136">
        <f t="shared" si="126"/>
        <v>0</v>
      </c>
      <c r="O425" s="136">
        <f t="shared" si="126"/>
        <v>0</v>
      </c>
    </row>
    <row r="426" spans="3:16">
      <c r="C426" s="105" t="s">
        <v>555</v>
      </c>
      <c r="D426" s="321">
        <v>100000</v>
      </c>
      <c r="E426" s="321">
        <v>100000</v>
      </c>
      <c r="F426" s="321">
        <v>200000</v>
      </c>
      <c r="G426" s="321">
        <v>200000</v>
      </c>
      <c r="H426" s="321"/>
      <c r="I426" s="321"/>
      <c r="J426" s="321"/>
      <c r="K426" s="321"/>
      <c r="L426" s="321"/>
      <c r="M426" s="321"/>
      <c r="N426" s="321"/>
      <c r="O426" s="321"/>
    </row>
    <row r="427" spans="3:16">
      <c r="C427" s="58"/>
      <c r="D427" s="920" t="s">
        <v>139</v>
      </c>
      <c r="E427" s="920"/>
      <c r="F427" s="920"/>
      <c r="G427" s="920"/>
      <c r="H427" s="920"/>
      <c r="I427" s="920"/>
      <c r="J427" s="920"/>
      <c r="K427" s="920"/>
      <c r="L427" s="920"/>
      <c r="M427" s="920"/>
      <c r="N427" s="920"/>
      <c r="O427" s="920"/>
    </row>
    <row r="428" spans="3:16">
      <c r="C428" s="713" t="s">
        <v>554</v>
      </c>
      <c r="D428" s="136">
        <f t="shared" ref="D428:O428" si="127">D429*($E$485*($E$486/$F$486)+$E$487*($E$488/$F$488))</f>
        <v>0</v>
      </c>
      <c r="E428" s="136">
        <f t="shared" si="127"/>
        <v>0</v>
      </c>
      <c r="F428" s="136">
        <f t="shared" si="127"/>
        <v>0</v>
      </c>
      <c r="G428" s="136">
        <f t="shared" si="127"/>
        <v>1221502.8687485273</v>
      </c>
      <c r="H428" s="136">
        <f t="shared" si="127"/>
        <v>1221502.8687485273</v>
      </c>
      <c r="I428" s="136">
        <f t="shared" si="127"/>
        <v>1221502.8687485273</v>
      </c>
      <c r="J428" s="136">
        <f t="shared" si="127"/>
        <v>1425087.577686161</v>
      </c>
      <c r="K428" s="136">
        <f t="shared" si="127"/>
        <v>1425087.577686161</v>
      </c>
      <c r="L428" s="136">
        <f t="shared" si="127"/>
        <v>1425087.577686161</v>
      </c>
      <c r="M428" s="136">
        <f t="shared" si="127"/>
        <v>0</v>
      </c>
      <c r="N428" s="136">
        <f t="shared" si="127"/>
        <v>0</v>
      </c>
      <c r="O428" s="136">
        <f t="shared" si="127"/>
        <v>0</v>
      </c>
    </row>
    <row r="429" spans="3:16">
      <c r="C429" s="105" t="s">
        <v>555</v>
      </c>
      <c r="D429" s="321"/>
      <c r="E429" s="321"/>
      <c r="F429" s="321"/>
      <c r="G429" s="321">
        <v>907358</v>
      </c>
      <c r="H429" s="321">
        <v>907358</v>
      </c>
      <c r="I429" s="321">
        <v>907358</v>
      </c>
      <c r="J429" s="321">
        <v>1058585</v>
      </c>
      <c r="K429" s="321">
        <v>1058585</v>
      </c>
      <c r="L429" s="321">
        <v>1058585</v>
      </c>
      <c r="M429" s="321"/>
      <c r="N429" s="321"/>
      <c r="O429" s="321"/>
    </row>
    <row r="430" spans="3:16">
      <c r="C430" s="58"/>
      <c r="D430" s="920" t="s">
        <v>140</v>
      </c>
      <c r="E430" s="920"/>
      <c r="F430" s="920"/>
      <c r="G430" s="920"/>
      <c r="H430" s="920"/>
      <c r="I430" s="920"/>
      <c r="J430" s="920"/>
      <c r="K430" s="920"/>
      <c r="L430" s="920"/>
      <c r="M430" s="920"/>
      <c r="N430" s="920"/>
      <c r="O430" s="920"/>
    </row>
    <row r="431" spans="3:16" s="57" customFormat="1">
      <c r="C431" s="713" t="s">
        <v>554</v>
      </c>
      <c r="D431" s="136">
        <f>D432*1.05</f>
        <v>315000</v>
      </c>
      <c r="E431" s="136">
        <f t="shared" ref="E431:G431" si="128">E432*1.05</f>
        <v>315000</v>
      </c>
      <c r="F431" s="136">
        <f t="shared" si="128"/>
        <v>315000</v>
      </c>
      <c r="G431" s="136">
        <f t="shared" si="128"/>
        <v>367500</v>
      </c>
      <c r="H431" s="136">
        <f t="shared" ref="H431:O431" si="129">H432*($E$485*($E$486/$F$486)+$E$487*($E$488/$F$488))</f>
        <v>471176.76161116624</v>
      </c>
      <c r="I431" s="136">
        <f t="shared" si="129"/>
        <v>471176.76161116624</v>
      </c>
      <c r="J431" s="136">
        <f t="shared" ref="J431" si="130">J432*1.05</f>
        <v>525000</v>
      </c>
      <c r="K431" s="136">
        <f t="shared" ref="K431" si="131">K432*1.05</f>
        <v>525000</v>
      </c>
      <c r="L431" s="136">
        <f t="shared" ref="L431" si="132">L432*1.05</f>
        <v>525000</v>
      </c>
      <c r="M431" s="136">
        <f t="shared" si="129"/>
        <v>0</v>
      </c>
      <c r="N431" s="136">
        <f t="shared" si="129"/>
        <v>0</v>
      </c>
      <c r="O431" s="136">
        <f t="shared" si="129"/>
        <v>0</v>
      </c>
    </row>
    <row r="432" spans="3:16" s="57" customFormat="1">
      <c r="C432" s="105" t="s">
        <v>555</v>
      </c>
      <c r="D432" s="321">
        <v>300000</v>
      </c>
      <c r="E432" s="321">
        <v>300000</v>
      </c>
      <c r="F432" s="321">
        <v>300000</v>
      </c>
      <c r="G432" s="321">
        <v>350000</v>
      </c>
      <c r="H432" s="321">
        <v>350000</v>
      </c>
      <c r="I432" s="321">
        <v>350000</v>
      </c>
      <c r="J432" s="321">
        <v>500000</v>
      </c>
      <c r="K432" s="321">
        <v>500000</v>
      </c>
      <c r="L432" s="321">
        <v>500000</v>
      </c>
      <c r="M432" s="321"/>
      <c r="N432" s="321"/>
      <c r="O432" s="321"/>
    </row>
    <row r="433" spans="3:15" s="57" customFormat="1">
      <c r="C433" s="58"/>
      <c r="D433" s="920" t="s">
        <v>572</v>
      </c>
      <c r="E433" s="920"/>
      <c r="F433" s="920"/>
      <c r="G433" s="920"/>
      <c r="H433" s="920"/>
      <c r="I433" s="920"/>
      <c r="J433" s="920"/>
      <c r="K433" s="920"/>
      <c r="L433" s="920"/>
      <c r="M433" s="920"/>
      <c r="N433" s="920"/>
      <c r="O433" s="920"/>
    </row>
    <row r="434" spans="3:15" s="57" customFormat="1">
      <c r="C434" s="713" t="s">
        <v>554</v>
      </c>
      <c r="D434" s="136">
        <f t="shared" ref="D434:O434" si="133">D435*($E$485*($E$486/$F$486)+$E$487*($E$488/$F$488))</f>
        <v>381653.17690504465</v>
      </c>
      <c r="E434" s="136">
        <f t="shared" si="133"/>
        <v>381653.17690504465</v>
      </c>
      <c r="F434" s="136">
        <f t="shared" si="133"/>
        <v>381653.17690504465</v>
      </c>
      <c r="G434" s="136">
        <f t="shared" si="133"/>
        <v>1060147.713625124</v>
      </c>
      <c r="H434" s="136">
        <f t="shared" si="133"/>
        <v>1060147.713625124</v>
      </c>
      <c r="I434" s="136">
        <f t="shared" si="133"/>
        <v>1060147.713625124</v>
      </c>
      <c r="J434" s="136">
        <f t="shared" si="133"/>
        <v>1526612.7076201786</v>
      </c>
      <c r="K434" s="136">
        <f t="shared" si="133"/>
        <v>1526612.7076201786</v>
      </c>
      <c r="L434" s="136">
        <f t="shared" si="133"/>
        <v>1526612.7076201786</v>
      </c>
      <c r="M434" s="136">
        <f t="shared" si="133"/>
        <v>0</v>
      </c>
      <c r="N434" s="136">
        <f t="shared" si="133"/>
        <v>0</v>
      </c>
      <c r="O434" s="136">
        <f t="shared" si="133"/>
        <v>0</v>
      </c>
    </row>
    <row r="435" spans="3:15" s="57" customFormat="1">
      <c r="C435" s="105" t="s">
        <v>555</v>
      </c>
      <c r="D435" s="321">
        <v>283500</v>
      </c>
      <c r="E435" s="321">
        <v>283500</v>
      </c>
      <c r="F435" s="321">
        <v>283500</v>
      </c>
      <c r="G435" s="321">
        <v>787500</v>
      </c>
      <c r="H435" s="321">
        <v>787500</v>
      </c>
      <c r="I435" s="321">
        <v>787500</v>
      </c>
      <c r="J435" s="321">
        <v>1134000</v>
      </c>
      <c r="K435" s="321">
        <v>1134000</v>
      </c>
      <c r="L435" s="321">
        <v>1134000</v>
      </c>
      <c r="M435" s="321"/>
      <c r="N435" s="321"/>
      <c r="O435" s="321"/>
    </row>
    <row r="436" spans="3:15" s="57" customFormat="1">
      <c r="C436" s="58"/>
      <c r="D436" s="920" t="s">
        <v>573</v>
      </c>
      <c r="E436" s="920"/>
      <c r="F436" s="920"/>
      <c r="G436" s="920"/>
      <c r="H436" s="920"/>
      <c r="I436" s="920"/>
      <c r="J436" s="920"/>
      <c r="K436" s="920"/>
      <c r="L436" s="920"/>
      <c r="M436" s="920"/>
      <c r="N436" s="920"/>
      <c r="O436" s="920"/>
    </row>
    <row r="437" spans="3:15" s="57" customFormat="1">
      <c r="C437" s="713" t="s">
        <v>554</v>
      </c>
      <c r="D437" s="136">
        <f t="shared" ref="D437:O437" si="134">D438*($E$485*($E$486/$F$486)+$E$487*($E$488/$F$488))</f>
        <v>161142.45247101886</v>
      </c>
      <c r="E437" s="136">
        <f t="shared" si="134"/>
        <v>161142.45247101886</v>
      </c>
      <c r="F437" s="136">
        <f t="shared" si="134"/>
        <v>161142.45247101886</v>
      </c>
      <c r="G437" s="136">
        <f t="shared" si="134"/>
        <v>447617.92353060789</v>
      </c>
      <c r="H437" s="136">
        <f t="shared" si="134"/>
        <v>447617.92353060789</v>
      </c>
      <c r="I437" s="136">
        <f t="shared" si="134"/>
        <v>447617.92353060789</v>
      </c>
      <c r="J437" s="136">
        <f t="shared" si="134"/>
        <v>447617.92353060789</v>
      </c>
      <c r="K437" s="136">
        <f t="shared" si="134"/>
        <v>644569.80988407542</v>
      </c>
      <c r="L437" s="136">
        <f t="shared" si="134"/>
        <v>644165.94408840872</v>
      </c>
      <c r="M437" s="136">
        <f t="shared" si="134"/>
        <v>0</v>
      </c>
      <c r="N437" s="136">
        <f t="shared" si="134"/>
        <v>0</v>
      </c>
      <c r="O437" s="136">
        <f t="shared" si="134"/>
        <v>0</v>
      </c>
    </row>
    <row r="438" spans="3:15" s="57" customFormat="1">
      <c r="C438" s="105" t="s">
        <v>555</v>
      </c>
      <c r="D438" s="321">
        <v>119700</v>
      </c>
      <c r="E438" s="321">
        <v>119700</v>
      </c>
      <c r="F438" s="321">
        <v>119700</v>
      </c>
      <c r="G438" s="321">
        <v>332500</v>
      </c>
      <c r="H438" s="321">
        <v>332500</v>
      </c>
      <c r="I438" s="321">
        <v>332500</v>
      </c>
      <c r="J438" s="321">
        <v>332500</v>
      </c>
      <c r="K438" s="321">
        <v>478800</v>
      </c>
      <c r="L438" s="321">
        <v>478500</v>
      </c>
      <c r="M438" s="321"/>
      <c r="N438" s="321"/>
      <c r="O438" s="321"/>
    </row>
    <row r="439" spans="3:15" s="57" customFormat="1">
      <c r="C439" s="58"/>
      <c r="D439" s="920" t="s">
        <v>146</v>
      </c>
      <c r="E439" s="920"/>
      <c r="F439" s="920"/>
      <c r="G439" s="920"/>
      <c r="H439" s="920"/>
      <c r="I439" s="920"/>
      <c r="J439" s="920"/>
      <c r="K439" s="920"/>
      <c r="L439" s="920"/>
      <c r="M439" s="920"/>
      <c r="N439" s="920"/>
      <c r="O439" s="920"/>
    </row>
    <row r="440" spans="3:15" s="57" customFormat="1">
      <c r="C440" s="713" t="s">
        <v>554</v>
      </c>
      <c r="D440" s="136">
        <f t="shared" ref="D440:O440" si="135">D441*($E$485*($E$486/$F$486)+$E$487*($E$488/$F$488))</f>
        <v>89052.407944510414</v>
      </c>
      <c r="E440" s="136">
        <f t="shared" si="135"/>
        <v>89052.407944510414</v>
      </c>
      <c r="F440" s="136">
        <f t="shared" si="135"/>
        <v>89052.407944510414</v>
      </c>
      <c r="G440" s="136">
        <f t="shared" si="135"/>
        <v>247367.79984586226</v>
      </c>
      <c r="H440" s="136">
        <f t="shared" si="135"/>
        <v>247367.79984586226</v>
      </c>
      <c r="I440" s="136">
        <f t="shared" si="135"/>
        <v>247367.79984586226</v>
      </c>
      <c r="J440" s="136">
        <f t="shared" si="135"/>
        <v>356478.8756418195</v>
      </c>
      <c r="K440" s="136">
        <f t="shared" si="135"/>
        <v>356478.8756418195</v>
      </c>
      <c r="L440" s="136">
        <f t="shared" si="135"/>
        <v>356478.8756418195</v>
      </c>
      <c r="M440" s="136">
        <f t="shared" si="135"/>
        <v>0</v>
      </c>
      <c r="N440" s="136">
        <f t="shared" si="135"/>
        <v>0</v>
      </c>
      <c r="O440" s="136">
        <f t="shared" si="135"/>
        <v>0</v>
      </c>
    </row>
    <row r="441" spans="3:15" s="57" customFormat="1">
      <c r="C441" s="105" t="s">
        <v>555</v>
      </c>
      <c r="D441" s="321">
        <v>66150</v>
      </c>
      <c r="E441" s="321">
        <v>66150</v>
      </c>
      <c r="F441" s="321">
        <v>66150</v>
      </c>
      <c r="G441" s="321">
        <v>183750</v>
      </c>
      <c r="H441" s="321">
        <v>183750</v>
      </c>
      <c r="I441" s="321">
        <v>183750</v>
      </c>
      <c r="J441" s="321">
        <v>264800</v>
      </c>
      <c r="K441" s="321">
        <v>264800</v>
      </c>
      <c r="L441" s="321">
        <v>264800</v>
      </c>
      <c r="M441" s="321"/>
      <c r="N441" s="321"/>
      <c r="O441" s="321"/>
    </row>
    <row r="442" spans="3:15" s="57" customFormat="1">
      <c r="C442" s="58"/>
      <c r="D442" s="920" t="s">
        <v>145</v>
      </c>
      <c r="E442" s="920"/>
      <c r="F442" s="920"/>
      <c r="G442" s="920"/>
      <c r="H442" s="920"/>
      <c r="I442" s="920"/>
      <c r="J442" s="920"/>
      <c r="K442" s="920"/>
      <c r="L442" s="920"/>
      <c r="M442" s="920"/>
      <c r="N442" s="920"/>
      <c r="O442" s="920"/>
    </row>
    <row r="443" spans="3:15" s="57" customFormat="1">
      <c r="C443" s="713" t="s">
        <v>554</v>
      </c>
      <c r="D443" s="136">
        <f t="shared" ref="D443:O443" si="136">D444*($E$485*($E$486/$F$486)+$E$487*($E$488/$F$488))</f>
        <v>12789.083529445939</v>
      </c>
      <c r="E443" s="136">
        <f t="shared" si="136"/>
        <v>12789.083529445939</v>
      </c>
      <c r="F443" s="136">
        <f t="shared" si="136"/>
        <v>12789.083529445939</v>
      </c>
      <c r="G443" s="136">
        <f t="shared" si="136"/>
        <v>35338.257120837465</v>
      </c>
      <c r="H443" s="136">
        <f t="shared" si="136"/>
        <v>35338.257120837465</v>
      </c>
      <c r="I443" s="136">
        <f t="shared" si="136"/>
        <v>35338.257120837465</v>
      </c>
      <c r="J443" s="136">
        <f t="shared" si="136"/>
        <v>50887.090254005954</v>
      </c>
      <c r="K443" s="136">
        <f t="shared" si="136"/>
        <v>50887.090254005954</v>
      </c>
      <c r="L443" s="136">
        <f t="shared" si="136"/>
        <v>50887.090254005954</v>
      </c>
      <c r="M443" s="136">
        <f t="shared" si="136"/>
        <v>0</v>
      </c>
      <c r="N443" s="136">
        <f t="shared" si="136"/>
        <v>0</v>
      </c>
      <c r="O443" s="136">
        <f t="shared" si="136"/>
        <v>0</v>
      </c>
    </row>
    <row r="444" spans="3:15" s="57" customFormat="1">
      <c r="C444" s="105" t="s">
        <v>555</v>
      </c>
      <c r="D444" s="321">
        <v>9500</v>
      </c>
      <c r="E444" s="321">
        <v>9500</v>
      </c>
      <c r="F444" s="321">
        <v>9500</v>
      </c>
      <c r="G444" s="321">
        <v>26250</v>
      </c>
      <c r="H444" s="321">
        <v>26250</v>
      </c>
      <c r="I444" s="321">
        <v>26250</v>
      </c>
      <c r="J444" s="321">
        <v>37800</v>
      </c>
      <c r="K444" s="321">
        <v>37800</v>
      </c>
      <c r="L444" s="321">
        <v>37800</v>
      </c>
      <c r="M444" s="321"/>
      <c r="N444" s="321"/>
      <c r="O444" s="321"/>
    </row>
    <row r="445" spans="3:15" s="57" customFormat="1">
      <c r="C445" s="58"/>
      <c r="D445" s="920" t="s">
        <v>148</v>
      </c>
      <c r="E445" s="920"/>
      <c r="F445" s="920"/>
      <c r="G445" s="920"/>
      <c r="H445" s="920"/>
      <c r="I445" s="920"/>
      <c r="J445" s="920"/>
      <c r="K445" s="920"/>
      <c r="L445" s="920"/>
      <c r="M445" s="920"/>
      <c r="N445" s="920"/>
      <c r="O445" s="920"/>
    </row>
    <row r="446" spans="3:15" s="57" customFormat="1">
      <c r="C446" s="713" t="s">
        <v>554</v>
      </c>
      <c r="D446" s="136">
        <f t="shared" ref="D446:O446" si="137">D447*($E$485*($E$486/$F$486)+$E$487*($E$488/$F$488))</f>
        <v>174470.0237280204</v>
      </c>
      <c r="E446" s="136">
        <f t="shared" si="137"/>
        <v>174470.0237280204</v>
      </c>
      <c r="F446" s="136">
        <f t="shared" si="137"/>
        <v>174470.0237280204</v>
      </c>
      <c r="G446" s="136">
        <f t="shared" si="137"/>
        <v>2358834.7208028357</v>
      </c>
      <c r="H446" s="136">
        <f t="shared" si="137"/>
        <v>2358834.7208028357</v>
      </c>
      <c r="I446" s="136">
        <f t="shared" si="137"/>
        <v>2358834.7208028357</v>
      </c>
      <c r="J446" s="136">
        <f t="shared" si="137"/>
        <v>3232057.189561578</v>
      </c>
      <c r="K446" s="136">
        <f t="shared" si="137"/>
        <v>3232057.189561578</v>
      </c>
      <c r="L446" s="136">
        <f t="shared" si="137"/>
        <v>3232057.189561578</v>
      </c>
      <c r="M446" s="136">
        <f t="shared" si="137"/>
        <v>0</v>
      </c>
      <c r="N446" s="136">
        <f t="shared" si="137"/>
        <v>0</v>
      </c>
      <c r="O446" s="136">
        <f t="shared" si="137"/>
        <v>0</v>
      </c>
    </row>
    <row r="447" spans="3:15" s="57" customFormat="1">
      <c r="C447" s="105" t="s">
        <v>555</v>
      </c>
      <c r="D447" s="321">
        <v>129600</v>
      </c>
      <c r="E447" s="321">
        <v>129600</v>
      </c>
      <c r="F447" s="321">
        <v>129600</v>
      </c>
      <c r="G447" s="321">
        <v>1752192</v>
      </c>
      <c r="H447" s="321">
        <v>1752192</v>
      </c>
      <c r="I447" s="321">
        <v>1752192</v>
      </c>
      <c r="J447" s="321">
        <v>2400840</v>
      </c>
      <c r="K447" s="321">
        <v>2400840</v>
      </c>
      <c r="L447" s="321">
        <v>2400840</v>
      </c>
      <c r="M447" s="321"/>
      <c r="N447" s="321"/>
      <c r="O447" s="321"/>
    </row>
    <row r="448" spans="3:15" s="57" customFormat="1">
      <c r="C448" s="58"/>
      <c r="D448" s="920" t="s">
        <v>149</v>
      </c>
      <c r="E448" s="920"/>
      <c r="F448" s="920"/>
      <c r="G448" s="920"/>
      <c r="H448" s="920"/>
      <c r="I448" s="920"/>
      <c r="J448" s="920"/>
      <c r="K448" s="920"/>
      <c r="L448" s="920"/>
      <c r="M448" s="920"/>
      <c r="N448" s="920"/>
      <c r="O448" s="920"/>
    </row>
    <row r="449" spans="3:15" s="57" customFormat="1">
      <c r="C449" s="713" t="s">
        <v>554</v>
      </c>
      <c r="D449" s="136">
        <f t="shared" ref="D449:O449" si="138">D450*($E$485*($E$486/$F$486)+$E$487*($E$488/$F$488))</f>
        <v>1046832.2583419924</v>
      </c>
      <c r="E449" s="136">
        <f t="shared" si="138"/>
        <v>1046832.2583419924</v>
      </c>
      <c r="F449" s="136">
        <f t="shared" si="138"/>
        <v>1046832.2583419924</v>
      </c>
      <c r="G449" s="136">
        <f t="shared" si="138"/>
        <v>0</v>
      </c>
      <c r="H449" s="136">
        <f t="shared" si="138"/>
        <v>0</v>
      </c>
      <c r="I449" s="136">
        <f t="shared" si="138"/>
        <v>0</v>
      </c>
      <c r="J449" s="136">
        <f t="shared" si="138"/>
        <v>0</v>
      </c>
      <c r="K449" s="136">
        <f t="shared" si="138"/>
        <v>0</v>
      </c>
      <c r="L449" s="136">
        <f t="shared" si="138"/>
        <v>0</v>
      </c>
      <c r="M449" s="136">
        <f t="shared" si="138"/>
        <v>0</v>
      </c>
      <c r="N449" s="136">
        <f t="shared" si="138"/>
        <v>0</v>
      </c>
      <c r="O449" s="136">
        <f t="shared" si="138"/>
        <v>0</v>
      </c>
    </row>
    <row r="450" spans="3:15" s="57" customFormat="1">
      <c r="C450" s="105" t="s">
        <v>555</v>
      </c>
      <c r="D450" s="321">
        <v>777609</v>
      </c>
      <c r="E450" s="321">
        <v>777609</v>
      </c>
      <c r="F450" s="321">
        <v>777609</v>
      </c>
      <c r="G450" s="321"/>
      <c r="H450" s="321"/>
      <c r="I450" s="321"/>
      <c r="J450" s="321"/>
      <c r="K450" s="321"/>
      <c r="L450" s="321"/>
      <c r="M450" s="321"/>
      <c r="N450" s="321"/>
      <c r="O450" s="321"/>
    </row>
    <row r="451" spans="3:15" s="57" customFormat="1">
      <c r="C451" s="58"/>
      <c r="D451" s="920" t="s">
        <v>150</v>
      </c>
      <c r="E451" s="920"/>
      <c r="F451" s="920"/>
      <c r="G451" s="920"/>
      <c r="H451" s="920"/>
      <c r="I451" s="920"/>
      <c r="J451" s="920"/>
      <c r="K451" s="920"/>
      <c r="L451" s="920"/>
      <c r="M451" s="920"/>
      <c r="N451" s="920"/>
      <c r="O451" s="920"/>
    </row>
    <row r="452" spans="3:15" s="57" customFormat="1">
      <c r="C452" s="713" t="s">
        <v>554</v>
      </c>
      <c r="D452" s="136">
        <f t="shared" ref="D452:O452" si="139">D453*($E$485*($E$486/$F$486)+$E$487*($E$488/$F$488))</f>
        <v>471176.76161116624</v>
      </c>
      <c r="E452" s="136">
        <f t="shared" si="139"/>
        <v>471176.76161116624</v>
      </c>
      <c r="F452" s="136">
        <f t="shared" si="139"/>
        <v>471176.76161116624</v>
      </c>
      <c r="G452" s="136">
        <f t="shared" si="139"/>
        <v>538487.7275556185</v>
      </c>
      <c r="H452" s="136">
        <f t="shared" si="139"/>
        <v>538487.7275556185</v>
      </c>
      <c r="I452" s="136">
        <f t="shared" si="139"/>
        <v>538487.7275556185</v>
      </c>
      <c r="J452" s="136">
        <f t="shared" si="139"/>
        <v>605798.69350007083</v>
      </c>
      <c r="K452" s="136">
        <f t="shared" si="139"/>
        <v>605798.69350007083</v>
      </c>
      <c r="L452" s="136">
        <f t="shared" si="139"/>
        <v>605798.69350007083</v>
      </c>
      <c r="M452" s="136">
        <f t="shared" si="139"/>
        <v>0</v>
      </c>
      <c r="N452" s="136">
        <f t="shared" si="139"/>
        <v>0</v>
      </c>
      <c r="O452" s="136">
        <f t="shared" si="139"/>
        <v>0</v>
      </c>
    </row>
    <row r="453" spans="3:15" s="57" customFormat="1">
      <c r="C453" s="105" t="s">
        <v>555</v>
      </c>
      <c r="D453" s="321">
        <v>350000</v>
      </c>
      <c r="E453" s="321">
        <v>350000</v>
      </c>
      <c r="F453" s="321">
        <v>350000</v>
      </c>
      <c r="G453" s="321">
        <v>400000</v>
      </c>
      <c r="H453" s="321">
        <v>400000</v>
      </c>
      <c r="I453" s="321">
        <v>400000</v>
      </c>
      <c r="J453" s="321">
        <v>450000</v>
      </c>
      <c r="K453" s="321">
        <v>450000</v>
      </c>
      <c r="L453" s="321">
        <v>450000</v>
      </c>
      <c r="M453" s="321"/>
      <c r="N453" s="321"/>
      <c r="O453" s="321"/>
    </row>
    <row r="454" spans="3:15" s="57" customFormat="1">
      <c r="C454" s="58"/>
      <c r="D454" s="920" t="s">
        <v>151</v>
      </c>
      <c r="E454" s="920"/>
      <c r="F454" s="920"/>
      <c r="G454" s="920"/>
      <c r="H454" s="920"/>
      <c r="I454" s="920"/>
      <c r="J454" s="920"/>
      <c r="K454" s="920"/>
      <c r="L454" s="920"/>
      <c r="M454" s="920"/>
      <c r="N454" s="920"/>
      <c r="O454" s="920"/>
    </row>
    <row r="455" spans="3:15" s="57" customFormat="1">
      <c r="C455" s="713" t="s">
        <v>554</v>
      </c>
      <c r="D455" s="136">
        <f t="shared" ref="D455:O455" si="140">D456*($E$485*($E$486/$F$486)+$E$487*($E$488/$F$488))</f>
        <v>69666.849752508148</v>
      </c>
      <c r="E455" s="136">
        <f t="shared" si="140"/>
        <v>69666.849752508148</v>
      </c>
      <c r="F455" s="136">
        <f t="shared" si="140"/>
        <v>69666.849752508148</v>
      </c>
      <c r="G455" s="136">
        <f t="shared" si="140"/>
        <v>123852.17733779227</v>
      </c>
      <c r="H455" s="136">
        <f t="shared" si="140"/>
        <v>123852.17733779227</v>
      </c>
      <c r="I455" s="136">
        <f t="shared" si="140"/>
        <v>123852.17733779227</v>
      </c>
      <c r="J455" s="136">
        <f t="shared" si="140"/>
        <v>193519.0270903004</v>
      </c>
      <c r="K455" s="136">
        <f t="shared" si="140"/>
        <v>193519.0270903004</v>
      </c>
      <c r="L455" s="136">
        <f t="shared" si="140"/>
        <v>193519.0270903004</v>
      </c>
      <c r="M455" s="136">
        <f t="shared" si="140"/>
        <v>0</v>
      </c>
      <c r="N455" s="136">
        <f t="shared" si="140"/>
        <v>0</v>
      </c>
      <c r="O455" s="136">
        <f t="shared" si="140"/>
        <v>0</v>
      </c>
    </row>
    <row r="456" spans="3:15" s="57" customFormat="1">
      <c r="C456" s="105" t="s">
        <v>555</v>
      </c>
      <c r="D456" s="321">
        <v>51750</v>
      </c>
      <c r="E456" s="321">
        <v>51750</v>
      </c>
      <c r="F456" s="321">
        <v>51750</v>
      </c>
      <c r="G456" s="321">
        <v>92000</v>
      </c>
      <c r="H456" s="321">
        <v>92000</v>
      </c>
      <c r="I456" s="321">
        <v>92000</v>
      </c>
      <c r="J456" s="321">
        <v>143750</v>
      </c>
      <c r="K456" s="321">
        <v>143750</v>
      </c>
      <c r="L456" s="321">
        <v>143750</v>
      </c>
      <c r="M456" s="321"/>
      <c r="N456" s="321"/>
      <c r="O456" s="321"/>
    </row>
    <row r="457" spans="3:15" s="57" customFormat="1">
      <c r="C457" s="58"/>
      <c r="D457" s="920" t="s">
        <v>152</v>
      </c>
      <c r="E457" s="920"/>
      <c r="F457" s="920"/>
      <c r="G457" s="920"/>
      <c r="H457" s="920"/>
      <c r="I457" s="920"/>
      <c r="J457" s="920"/>
      <c r="K457" s="920"/>
      <c r="L457" s="920"/>
      <c r="M457" s="920"/>
      <c r="N457" s="920"/>
      <c r="O457" s="920"/>
    </row>
    <row r="458" spans="3:15" s="57" customFormat="1">
      <c r="C458" s="713" t="s">
        <v>554</v>
      </c>
      <c r="D458" s="136">
        <f t="shared" ref="D458:O458" si="141">D459*($E$485*($E$486/$F$486)+$E$487*($E$488/$F$488))</f>
        <v>60579.869350007088</v>
      </c>
      <c r="E458" s="136">
        <f t="shared" si="141"/>
        <v>60579.869350007088</v>
      </c>
      <c r="F458" s="136">
        <f t="shared" si="141"/>
        <v>121159.73870001418</v>
      </c>
      <c r="G458" s="136">
        <f t="shared" si="141"/>
        <v>121159.73870001418</v>
      </c>
      <c r="H458" s="136">
        <f t="shared" si="141"/>
        <v>121159.73870001418</v>
      </c>
      <c r="I458" s="136">
        <f t="shared" si="141"/>
        <v>121159.73870001418</v>
      </c>
      <c r="J458" s="136">
        <f t="shared" si="141"/>
        <v>169623.63418001984</v>
      </c>
      <c r="K458" s="136">
        <f t="shared" si="141"/>
        <v>169623.63418001984</v>
      </c>
      <c r="L458" s="136">
        <f t="shared" si="141"/>
        <v>169623.63418001984</v>
      </c>
      <c r="M458" s="136">
        <f t="shared" si="141"/>
        <v>0</v>
      </c>
      <c r="N458" s="136">
        <f t="shared" si="141"/>
        <v>0</v>
      </c>
      <c r="O458" s="136">
        <f t="shared" si="141"/>
        <v>0</v>
      </c>
    </row>
    <row r="459" spans="3:15" s="57" customFormat="1">
      <c r="C459" s="105" t="s">
        <v>555</v>
      </c>
      <c r="D459" s="321">
        <v>45000</v>
      </c>
      <c r="E459" s="321">
        <v>45000</v>
      </c>
      <c r="F459" s="716">
        <v>90000</v>
      </c>
      <c r="G459" s="321">
        <v>90000</v>
      </c>
      <c r="H459" s="321">
        <v>90000</v>
      </c>
      <c r="I459" s="321">
        <v>90000</v>
      </c>
      <c r="J459" s="321">
        <v>126000</v>
      </c>
      <c r="K459" s="321">
        <v>126000</v>
      </c>
      <c r="L459" s="321">
        <v>126000</v>
      </c>
      <c r="M459" s="321"/>
      <c r="N459" s="321"/>
      <c r="O459" s="321"/>
    </row>
    <row r="460" spans="3:15" s="57" customFormat="1">
      <c r="C460" s="58"/>
      <c r="D460" s="920" t="s">
        <v>153</v>
      </c>
      <c r="E460" s="920"/>
      <c r="F460" s="920"/>
      <c r="G460" s="920"/>
      <c r="H460" s="920"/>
      <c r="I460" s="920"/>
      <c r="J460" s="920"/>
      <c r="K460" s="920"/>
      <c r="L460" s="920"/>
      <c r="M460" s="920"/>
      <c r="N460" s="920"/>
      <c r="O460" s="920"/>
    </row>
    <row r="461" spans="3:15" s="57" customFormat="1">
      <c r="C461" s="713" t="s">
        <v>554</v>
      </c>
      <c r="D461" s="136">
        <f t="shared" ref="D461:O461" si="142">D462*($E$485*($E$486/$F$486)+$E$487*($E$488/$F$488))</f>
        <v>127217.72563501488</v>
      </c>
      <c r="E461" s="136">
        <f t="shared" si="142"/>
        <v>127217.72563501488</v>
      </c>
      <c r="F461" s="136">
        <f t="shared" si="142"/>
        <v>127217.72563501488</v>
      </c>
      <c r="G461" s="136">
        <f t="shared" si="142"/>
        <v>1058451.4772833239</v>
      </c>
      <c r="H461" s="136">
        <f t="shared" si="142"/>
        <v>1058451.4772833239</v>
      </c>
      <c r="I461" s="136">
        <f t="shared" si="142"/>
        <v>1058451.4772833239</v>
      </c>
      <c r="J461" s="136">
        <f t="shared" si="142"/>
        <v>1450282.0722391696</v>
      </c>
      <c r="K461" s="136">
        <f t="shared" si="142"/>
        <v>1450282.0722391696</v>
      </c>
      <c r="L461" s="136">
        <f t="shared" si="142"/>
        <v>1450282.0722391696</v>
      </c>
      <c r="M461" s="136">
        <f t="shared" si="142"/>
        <v>0</v>
      </c>
      <c r="N461" s="136">
        <f t="shared" si="142"/>
        <v>0</v>
      </c>
      <c r="O461" s="136">
        <f t="shared" si="142"/>
        <v>0</v>
      </c>
    </row>
    <row r="462" spans="3:15" s="57" customFormat="1">
      <c r="C462" s="105" t="s">
        <v>555</v>
      </c>
      <c r="D462" s="321">
        <v>94500</v>
      </c>
      <c r="E462" s="321">
        <v>94500</v>
      </c>
      <c r="F462" s="321">
        <v>94500</v>
      </c>
      <c r="G462" s="321">
        <v>786240</v>
      </c>
      <c r="H462" s="321">
        <v>786240</v>
      </c>
      <c r="I462" s="321">
        <v>786240</v>
      </c>
      <c r="J462" s="321">
        <v>1077300</v>
      </c>
      <c r="K462" s="321">
        <v>1077300</v>
      </c>
      <c r="L462" s="321">
        <v>1077300</v>
      </c>
      <c r="M462" s="321"/>
      <c r="N462" s="321"/>
      <c r="O462" s="321"/>
    </row>
    <row r="463" spans="3:15" s="57" customFormat="1">
      <c r="C463" s="58"/>
      <c r="D463" s="920" t="s">
        <v>574</v>
      </c>
      <c r="E463" s="920"/>
      <c r="F463" s="920"/>
      <c r="G463" s="920"/>
      <c r="H463" s="920"/>
      <c r="I463" s="920"/>
      <c r="J463" s="920"/>
      <c r="K463" s="920"/>
      <c r="L463" s="920"/>
      <c r="M463" s="920"/>
      <c r="N463" s="920"/>
      <c r="O463" s="920"/>
    </row>
    <row r="464" spans="3:15" s="57" customFormat="1">
      <c r="C464" s="713" t="s">
        <v>554</v>
      </c>
      <c r="D464" s="136">
        <f>D465*1.03</f>
        <v>714820</v>
      </c>
      <c r="E464" s="136">
        <f t="shared" ref="E464:F464" si="143">E465*1.03</f>
        <v>714820</v>
      </c>
      <c r="F464" s="136">
        <f t="shared" si="143"/>
        <v>714820</v>
      </c>
      <c r="G464" s="136">
        <f t="shared" ref="G464:O464" si="144">G465*($E$485*($E$486/$F$486)+$E$487*($E$488/$F$488))</f>
        <v>0</v>
      </c>
      <c r="H464" s="136">
        <f t="shared" si="144"/>
        <v>0</v>
      </c>
      <c r="I464" s="136">
        <f t="shared" si="144"/>
        <v>0</v>
      </c>
      <c r="J464" s="136">
        <f t="shared" si="144"/>
        <v>0</v>
      </c>
      <c r="K464" s="136">
        <f t="shared" si="144"/>
        <v>0</v>
      </c>
      <c r="L464" s="136">
        <f t="shared" si="144"/>
        <v>0</v>
      </c>
      <c r="M464" s="136">
        <f t="shared" si="144"/>
        <v>0</v>
      </c>
      <c r="N464" s="136">
        <f t="shared" si="144"/>
        <v>0</v>
      </c>
      <c r="O464" s="136">
        <f t="shared" si="144"/>
        <v>0</v>
      </c>
    </row>
    <row r="465" spans="3:15" s="57" customFormat="1">
      <c r="C465" s="105" t="s">
        <v>555</v>
      </c>
      <c r="D465" s="321">
        <v>694000</v>
      </c>
      <c r="E465" s="321">
        <v>694000</v>
      </c>
      <c r="F465" s="321">
        <v>694000</v>
      </c>
      <c r="G465" s="321"/>
      <c r="H465" s="321"/>
      <c r="I465" s="321"/>
      <c r="J465" s="321"/>
      <c r="K465" s="321"/>
      <c r="L465" s="321"/>
      <c r="M465" s="321"/>
      <c r="N465" s="321"/>
      <c r="O465" s="321"/>
    </row>
    <row r="466" spans="3:15" s="57" customFormat="1">
      <c r="C466" s="58"/>
      <c r="D466" s="920" t="s">
        <v>156</v>
      </c>
      <c r="E466" s="920"/>
      <c r="F466" s="920"/>
      <c r="G466" s="920"/>
      <c r="H466" s="920"/>
      <c r="I466" s="920"/>
      <c r="J466" s="920"/>
      <c r="K466" s="920"/>
      <c r="L466" s="920"/>
      <c r="M466" s="920"/>
      <c r="N466" s="920"/>
      <c r="O466" s="920"/>
    </row>
    <row r="467" spans="3:15" s="57" customFormat="1">
      <c r="C467" s="713" t="s">
        <v>554</v>
      </c>
      <c r="D467" s="136">
        <f>D468*1.05</f>
        <v>2545647.8701500003</v>
      </c>
      <c r="E467" s="136">
        <f t="shared" ref="E467:F467" si="145">E468*1.05</f>
        <v>2545647.8701500003</v>
      </c>
      <c r="F467" s="136">
        <f t="shared" si="145"/>
        <v>2545647.8701500003</v>
      </c>
      <c r="G467" s="136">
        <f>G468*1.05</f>
        <v>4061753.9424000001</v>
      </c>
      <c r="H467" s="136">
        <f t="shared" ref="H467:K467" si="146">H468*1.05</f>
        <v>4061753.9424000001</v>
      </c>
      <c r="I467" s="136">
        <f t="shared" si="146"/>
        <v>4061753.9424000001</v>
      </c>
      <c r="J467" s="136">
        <f t="shared" si="146"/>
        <v>4061753.9424000001</v>
      </c>
      <c r="K467" s="136">
        <f t="shared" si="146"/>
        <v>4061753.9424000001</v>
      </c>
      <c r="L467" s="136">
        <f>L468*1.05</f>
        <v>5930442.8221500013</v>
      </c>
      <c r="M467" s="136">
        <f t="shared" ref="M467:O467" si="147">M468*($E$485*($E$486/$F$486)+$E$487*($E$488/$F$488))</f>
        <v>0</v>
      </c>
      <c r="N467" s="136">
        <f t="shared" si="147"/>
        <v>0</v>
      </c>
      <c r="O467" s="136">
        <f t="shared" si="147"/>
        <v>0</v>
      </c>
    </row>
    <row r="468" spans="3:15" s="57" customFormat="1">
      <c r="C468" s="105" t="s">
        <v>555</v>
      </c>
      <c r="D468" s="321">
        <v>2424426.5430000001</v>
      </c>
      <c r="E468" s="321">
        <v>2424426.5430000001</v>
      </c>
      <c r="F468" s="321">
        <v>2424426.5430000001</v>
      </c>
      <c r="G468" s="321">
        <v>3868337.088</v>
      </c>
      <c r="H468" s="321">
        <v>3868337.088</v>
      </c>
      <c r="I468" s="321">
        <v>3868337.088</v>
      </c>
      <c r="J468" s="321">
        <v>3868337.088</v>
      </c>
      <c r="K468" s="321">
        <v>3868337.088</v>
      </c>
      <c r="L468" s="321">
        <v>5648040.7830000008</v>
      </c>
      <c r="M468" s="321"/>
      <c r="N468" s="321"/>
      <c r="O468" s="321"/>
    </row>
    <row r="469" spans="3:15" s="57" customFormat="1">
      <c r="C469" s="58"/>
      <c r="D469" s="920" t="s">
        <v>157</v>
      </c>
      <c r="E469" s="920"/>
      <c r="F469" s="920"/>
      <c r="G469" s="920"/>
      <c r="H469" s="920"/>
      <c r="I469" s="920"/>
      <c r="J469" s="920"/>
      <c r="K469" s="920"/>
      <c r="L469" s="920"/>
      <c r="M469" s="920"/>
      <c r="N469" s="920"/>
      <c r="O469" s="920"/>
    </row>
    <row r="470" spans="3:15" s="57" customFormat="1">
      <c r="C470" s="713" t="s">
        <v>554</v>
      </c>
      <c r="D470" s="136">
        <f t="shared" ref="D470:O470" si="148">D471*($E$485*($E$486/$F$486)+$E$487*($E$488/$F$488))</f>
        <v>67310.965944452313</v>
      </c>
      <c r="E470" s="136">
        <f t="shared" si="148"/>
        <v>67310.965944452313</v>
      </c>
      <c r="F470" s="136">
        <f t="shared" si="148"/>
        <v>67310.965944452313</v>
      </c>
      <c r="G470" s="136">
        <f t="shared" si="148"/>
        <v>107697.54551112371</v>
      </c>
      <c r="H470" s="136">
        <f t="shared" si="148"/>
        <v>107697.54551112371</v>
      </c>
      <c r="I470" s="136">
        <f t="shared" si="148"/>
        <v>107697.54551112371</v>
      </c>
      <c r="J470" s="136">
        <f t="shared" si="148"/>
        <v>107697.54551112371</v>
      </c>
      <c r="K470" s="136">
        <f t="shared" si="148"/>
        <v>107697.54551112371</v>
      </c>
      <c r="L470" s="136">
        <f t="shared" si="148"/>
        <v>107697.54551112371</v>
      </c>
      <c r="M470" s="136">
        <f t="shared" si="148"/>
        <v>0</v>
      </c>
      <c r="N470" s="136">
        <f t="shared" si="148"/>
        <v>0</v>
      </c>
      <c r="O470" s="136">
        <f t="shared" si="148"/>
        <v>0</v>
      </c>
    </row>
    <row r="471" spans="3:15" s="57" customFormat="1">
      <c r="C471" s="105" t="s">
        <v>555</v>
      </c>
      <c r="D471" s="321">
        <v>50000</v>
      </c>
      <c r="E471" s="321">
        <v>50000</v>
      </c>
      <c r="F471" s="321">
        <v>50000</v>
      </c>
      <c r="G471" s="321">
        <v>80000</v>
      </c>
      <c r="H471" s="321">
        <v>80000</v>
      </c>
      <c r="I471" s="321">
        <v>80000</v>
      </c>
      <c r="J471" s="321">
        <v>80000</v>
      </c>
      <c r="K471" s="321">
        <v>80000</v>
      </c>
      <c r="L471" s="321">
        <v>80000</v>
      </c>
      <c r="M471" s="321"/>
      <c r="N471" s="321"/>
      <c r="O471" s="321"/>
    </row>
    <row r="472" spans="3:15" s="57" customFormat="1">
      <c r="C472" s="58"/>
      <c r="D472" s="920" t="s">
        <v>158</v>
      </c>
      <c r="E472" s="920"/>
      <c r="F472" s="920"/>
      <c r="G472" s="920"/>
      <c r="H472" s="920"/>
      <c r="I472" s="920"/>
      <c r="J472" s="920"/>
      <c r="K472" s="920"/>
      <c r="L472" s="920"/>
      <c r="M472" s="920"/>
      <c r="N472" s="920"/>
      <c r="O472" s="920"/>
    </row>
    <row r="473" spans="3:15" s="57" customFormat="1">
      <c r="C473" s="713" t="s">
        <v>554</v>
      </c>
      <c r="D473" s="136">
        <f>D474*1.025</f>
        <v>512499.99999999994</v>
      </c>
      <c r="E473" s="136">
        <f t="shared" ref="E473:L473" si="149">E474*1.025</f>
        <v>666250</v>
      </c>
      <c r="F473" s="136">
        <f t="shared" si="149"/>
        <v>871249.99999999988</v>
      </c>
      <c r="G473" s="136">
        <f t="shared" si="149"/>
        <v>1332500</v>
      </c>
      <c r="H473" s="136">
        <f t="shared" si="149"/>
        <v>1844999.9999999998</v>
      </c>
      <c r="I473" s="136">
        <f t="shared" si="149"/>
        <v>2255000</v>
      </c>
      <c r="J473" s="136">
        <f t="shared" si="149"/>
        <v>2665000</v>
      </c>
      <c r="K473" s="136">
        <f t="shared" si="149"/>
        <v>3074999.9999999995</v>
      </c>
      <c r="L473" s="136">
        <f t="shared" si="149"/>
        <v>3587499.9999999995</v>
      </c>
      <c r="M473" s="136">
        <f t="shared" ref="M473:O473" si="150">M474*($E$485*($E$486/$F$486)+$E$487*($E$488/$F$488))</f>
        <v>0</v>
      </c>
      <c r="N473" s="136">
        <f t="shared" si="150"/>
        <v>0</v>
      </c>
      <c r="O473" s="136">
        <f t="shared" si="150"/>
        <v>0</v>
      </c>
    </row>
    <row r="474" spans="3:15" s="57" customFormat="1">
      <c r="C474" s="105" t="s">
        <v>555</v>
      </c>
      <c r="D474" s="321">
        <v>500000</v>
      </c>
      <c r="E474" s="321">
        <v>650000</v>
      </c>
      <c r="F474" s="321">
        <v>850000</v>
      </c>
      <c r="G474" s="321">
        <v>1300000</v>
      </c>
      <c r="H474" s="321">
        <v>1800000</v>
      </c>
      <c r="I474" s="321">
        <v>2200000</v>
      </c>
      <c r="J474" s="321">
        <v>2600000</v>
      </c>
      <c r="K474" s="321">
        <v>3000000</v>
      </c>
      <c r="L474" s="321">
        <v>3500000</v>
      </c>
      <c r="M474" s="321"/>
      <c r="N474" s="321"/>
      <c r="O474" s="321"/>
    </row>
    <row r="475" spans="3:15" s="57" customFormat="1">
      <c r="C475" s="58"/>
      <c r="D475" s="920" t="s">
        <v>159</v>
      </c>
      <c r="E475" s="920"/>
      <c r="F475" s="920"/>
      <c r="G475" s="920"/>
      <c r="H475" s="920"/>
      <c r="I475" s="920"/>
      <c r="J475" s="920"/>
      <c r="K475" s="920"/>
      <c r="L475" s="920"/>
      <c r="M475" s="920"/>
      <c r="N475" s="920"/>
      <c r="O475" s="920"/>
    </row>
    <row r="476" spans="3:15" s="57" customFormat="1">
      <c r="C476" s="713" t="s">
        <v>554</v>
      </c>
      <c r="D476" s="136">
        <f>D477*1.05</f>
        <v>34728.75</v>
      </c>
      <c r="E476" s="136">
        <f t="shared" ref="E476:L476" si="151">E477*1.05</f>
        <v>34728.75</v>
      </c>
      <c r="F476" s="136">
        <f t="shared" si="151"/>
        <v>34728.75</v>
      </c>
      <c r="G476" s="136">
        <f t="shared" si="151"/>
        <v>96468.75</v>
      </c>
      <c r="H476" s="136">
        <f t="shared" si="151"/>
        <v>96468.75</v>
      </c>
      <c r="I476" s="136">
        <f t="shared" si="151"/>
        <v>96468.75</v>
      </c>
      <c r="J476" s="136">
        <f t="shared" si="151"/>
        <v>139020</v>
      </c>
      <c r="K476" s="136">
        <f t="shared" si="151"/>
        <v>3989922.8250000007</v>
      </c>
      <c r="L476" s="136">
        <f t="shared" si="151"/>
        <v>4241387.3250000011</v>
      </c>
      <c r="M476" s="136">
        <f t="shared" ref="M476:O476" si="152">M477*($E$485*($E$486/$F$486)+$E$487*($E$488/$F$488))</f>
        <v>0</v>
      </c>
      <c r="N476" s="136">
        <f t="shared" si="152"/>
        <v>0</v>
      </c>
      <c r="O476" s="136">
        <f t="shared" si="152"/>
        <v>0</v>
      </c>
    </row>
    <row r="477" spans="3:15" s="57" customFormat="1">
      <c r="C477" s="105" t="s">
        <v>555</v>
      </c>
      <c r="D477" s="321">
        <v>33075</v>
      </c>
      <c r="E477" s="321">
        <v>33075</v>
      </c>
      <c r="F477" s="321">
        <v>33075</v>
      </c>
      <c r="G477" s="321">
        <v>91875</v>
      </c>
      <c r="H477" s="321">
        <v>91875</v>
      </c>
      <c r="I477" s="321">
        <v>91875</v>
      </c>
      <c r="J477" s="321">
        <v>132400</v>
      </c>
      <c r="K477" s="321">
        <v>3799926.5000000005</v>
      </c>
      <c r="L477" s="321">
        <v>4039416.5000000005</v>
      </c>
      <c r="M477" s="321"/>
      <c r="N477" s="321"/>
      <c r="O477" s="321"/>
    </row>
    <row r="478" spans="3:15" s="57" customFormat="1">
      <c r="C478" s="58"/>
      <c r="D478" s="920"/>
      <c r="E478" s="920"/>
      <c r="F478" s="920"/>
      <c r="G478" s="920"/>
      <c r="H478" s="920"/>
      <c r="I478" s="920"/>
      <c r="J478" s="920"/>
      <c r="K478" s="920"/>
      <c r="L478" s="920"/>
      <c r="M478" s="920"/>
      <c r="N478" s="920"/>
      <c r="O478" s="920"/>
    </row>
    <row r="479" spans="3:15" s="57" customFormat="1">
      <c r="C479" s="713" t="s">
        <v>554</v>
      </c>
      <c r="D479" s="136">
        <f t="shared" ref="D479:O479" si="153">D480*($E$485*($E$486/$F$486)+$E$487*($E$488/$F$488))</f>
        <v>0</v>
      </c>
      <c r="E479" s="136">
        <f t="shared" si="153"/>
        <v>0</v>
      </c>
      <c r="F479" s="136">
        <f t="shared" si="153"/>
        <v>0</v>
      </c>
      <c r="G479" s="136">
        <f t="shared" si="153"/>
        <v>0</v>
      </c>
      <c r="H479" s="136">
        <f t="shared" si="153"/>
        <v>0</v>
      </c>
      <c r="I479" s="136">
        <f t="shared" si="153"/>
        <v>0</v>
      </c>
      <c r="J479" s="136">
        <f t="shared" si="153"/>
        <v>0</v>
      </c>
      <c r="K479" s="136">
        <f t="shared" si="153"/>
        <v>0</v>
      </c>
      <c r="L479" s="136">
        <f t="shared" si="153"/>
        <v>0</v>
      </c>
      <c r="M479" s="136">
        <f t="shared" si="153"/>
        <v>0</v>
      </c>
      <c r="N479" s="136">
        <f t="shared" si="153"/>
        <v>0</v>
      </c>
      <c r="O479" s="136">
        <f t="shared" si="153"/>
        <v>0</v>
      </c>
    </row>
    <row r="480" spans="3:15" s="57" customFormat="1">
      <c r="C480" s="105" t="s">
        <v>555</v>
      </c>
      <c r="D480" s="321"/>
      <c r="E480" s="321"/>
      <c r="F480" s="321"/>
      <c r="G480" s="321"/>
      <c r="H480" s="321"/>
      <c r="I480" s="321"/>
      <c r="J480" s="321"/>
      <c r="K480" s="321"/>
      <c r="L480" s="321"/>
      <c r="M480" s="321"/>
      <c r="N480" s="321"/>
      <c r="O480" s="321"/>
    </row>
    <row r="481" spans="3:8">
      <c r="C481" s="639" t="s">
        <v>554</v>
      </c>
      <c r="D481" s="136">
        <f>D482*1.05</f>
        <v>264222</v>
      </c>
      <c r="E481" s="136">
        <f t="shared" ref="E481:H481" si="154">E482*1.05</f>
        <v>440370</v>
      </c>
      <c r="F481" s="136">
        <f t="shared" si="154"/>
        <v>675232.95000000007</v>
      </c>
      <c r="G481" s="136">
        <f t="shared" si="154"/>
        <v>1614687.9000000001</v>
      </c>
      <c r="H481" s="136">
        <f t="shared" si="154"/>
        <v>0</v>
      </c>
    </row>
    <row r="482" spans="3:8">
      <c r="C482" s="640" t="s">
        <v>555</v>
      </c>
      <c r="D482" s="117">
        <v>251640</v>
      </c>
      <c r="E482" s="117">
        <v>419400</v>
      </c>
      <c r="F482" s="117">
        <v>643079</v>
      </c>
      <c r="G482" s="117">
        <v>1537798</v>
      </c>
      <c r="H482" s="778"/>
    </row>
    <row r="484" spans="3:8">
      <c r="C484" s="107" t="s">
        <v>359</v>
      </c>
      <c r="D484" s="107"/>
      <c r="E484" s="120">
        <v>2014</v>
      </c>
      <c r="F484" s="120">
        <v>2004</v>
      </c>
    </row>
    <row r="485" spans="3:8">
      <c r="C485" s="105" t="s">
        <v>349</v>
      </c>
      <c r="D485" s="106"/>
      <c r="E485" s="666">
        <v>0.32</v>
      </c>
      <c r="F485" s="39"/>
    </row>
    <row r="486" spans="3:8">
      <c r="C486" s="105" t="s">
        <v>355</v>
      </c>
      <c r="D486" s="106"/>
      <c r="E486" s="667">
        <v>117.48858</v>
      </c>
      <c r="F486" s="667">
        <v>79.96987</v>
      </c>
    </row>
    <row r="487" spans="3:8">
      <c r="C487" s="105" t="s">
        <v>350</v>
      </c>
      <c r="D487" s="106"/>
      <c r="E487" s="666">
        <v>0.68</v>
      </c>
      <c r="F487" s="39"/>
    </row>
    <row r="488" spans="3:8" ht="15.75" thickBot="1">
      <c r="C488" s="49" t="s">
        <v>351</v>
      </c>
      <c r="D488" s="49"/>
      <c r="E488" s="134">
        <v>120.14</v>
      </c>
      <c r="F488" s="134">
        <v>93.25</v>
      </c>
    </row>
  </sheetData>
  <mergeCells count="318">
    <mergeCell ref="L327:M327"/>
    <mergeCell ref="C328:D328"/>
    <mergeCell ref="F328:G328"/>
    <mergeCell ref="I328:J328"/>
    <mergeCell ref="L328:M328"/>
    <mergeCell ref="J6:M6"/>
    <mergeCell ref="A199:Q200"/>
    <mergeCell ref="A201:C201"/>
    <mergeCell ref="P201:Q201"/>
    <mergeCell ref="P61:Q61"/>
    <mergeCell ref="P63:Q63"/>
    <mergeCell ref="P64:Q64"/>
    <mergeCell ref="P65:Q65"/>
    <mergeCell ref="P98:Q99"/>
    <mergeCell ref="P100:Q100"/>
    <mergeCell ref="P101:Q101"/>
    <mergeCell ref="P106:Q106"/>
    <mergeCell ref="P105:Q105"/>
    <mergeCell ref="P104:Q104"/>
    <mergeCell ref="P83:Q83"/>
    <mergeCell ref="B183:C183"/>
    <mergeCell ref="A181:C181"/>
    <mergeCell ref="D346:O346"/>
    <mergeCell ref="A333:Q333"/>
    <mergeCell ref="D349:O349"/>
    <mergeCell ref="A213:Q214"/>
    <mergeCell ref="D216:H216"/>
    <mergeCell ref="J216:M216"/>
    <mergeCell ref="N216:O216"/>
    <mergeCell ref="A246:Q247"/>
    <mergeCell ref="A248:C248"/>
    <mergeCell ref="P248:Q248"/>
    <mergeCell ref="D249:H249"/>
    <mergeCell ref="J249:M249"/>
    <mergeCell ref="N249:O249"/>
    <mergeCell ref="C309:J309"/>
    <mergeCell ref="D310:J310"/>
    <mergeCell ref="C325:D325"/>
    <mergeCell ref="F325:G325"/>
    <mergeCell ref="I325:J325"/>
    <mergeCell ref="L325:M325"/>
    <mergeCell ref="C326:D326"/>
    <mergeCell ref="A240:C240"/>
    <mergeCell ref="P240:Q240"/>
    <mergeCell ref="D241:H241"/>
    <mergeCell ref="A253:C253"/>
    <mergeCell ref="A185:C185"/>
    <mergeCell ref="A6:C6"/>
    <mergeCell ref="A5:C5"/>
    <mergeCell ref="A3:Q4"/>
    <mergeCell ref="P5:Q5"/>
    <mergeCell ref="P6:Q6"/>
    <mergeCell ref="P150:Q150"/>
    <mergeCell ref="P72:Q72"/>
    <mergeCell ref="P73:Q73"/>
    <mergeCell ref="P74:Q74"/>
    <mergeCell ref="P75:Q75"/>
    <mergeCell ref="P76:Q76"/>
    <mergeCell ref="P7:Q7"/>
    <mergeCell ref="P8:Q8"/>
    <mergeCell ref="P12:Q12"/>
    <mergeCell ref="P62:Q62"/>
    <mergeCell ref="P60:Q60"/>
    <mergeCell ref="A68:Q69"/>
    <mergeCell ref="A70:C70"/>
    <mergeCell ref="P70:Q70"/>
    <mergeCell ref="D6:G6"/>
    <mergeCell ref="D19:G19"/>
    <mergeCell ref="A147:Q148"/>
    <mergeCell ref="P170:Q170"/>
    <mergeCell ref="N6:O6"/>
    <mergeCell ref="P129:Q129"/>
    <mergeCell ref="P127:Q127"/>
    <mergeCell ref="P125:Q125"/>
    <mergeCell ref="A26:Q27"/>
    <mergeCell ref="A28:C28"/>
    <mergeCell ref="P28:Q28"/>
    <mergeCell ref="D29:H29"/>
    <mergeCell ref="A132:Q133"/>
    <mergeCell ref="P120:Q120"/>
    <mergeCell ref="P119:Q119"/>
    <mergeCell ref="A117:Q118"/>
    <mergeCell ref="P80:Q80"/>
    <mergeCell ref="A40:C40"/>
    <mergeCell ref="A80:C81"/>
    <mergeCell ref="A82:C82"/>
    <mergeCell ref="P32:Q32"/>
    <mergeCell ref="P34:Q34"/>
    <mergeCell ref="P35:Q35"/>
    <mergeCell ref="P33:Q33"/>
    <mergeCell ref="P42:Q42"/>
    <mergeCell ref="P40:Q40"/>
    <mergeCell ref="D41:H41"/>
    <mergeCell ref="J41:M41"/>
    <mergeCell ref="N41:O41"/>
    <mergeCell ref="P30:Q30"/>
    <mergeCell ref="P31:Q31"/>
    <mergeCell ref="P110:Q110"/>
    <mergeCell ref="P109:Q109"/>
    <mergeCell ref="P108:Q108"/>
    <mergeCell ref="P107:Q107"/>
    <mergeCell ref="P167:Q167"/>
    <mergeCell ref="P166:Q166"/>
    <mergeCell ref="P165:Q165"/>
    <mergeCell ref="A163:Q164"/>
    <mergeCell ref="A149:C149"/>
    <mergeCell ref="A160:C160"/>
    <mergeCell ref="A165:C165"/>
    <mergeCell ref="P124:Q124"/>
    <mergeCell ref="P123:Q123"/>
    <mergeCell ref="P156:Q156"/>
    <mergeCell ref="P155:Q155"/>
    <mergeCell ref="P154:Q154"/>
    <mergeCell ref="P153:Q153"/>
    <mergeCell ref="P151:Q151"/>
    <mergeCell ref="D71:H71"/>
    <mergeCell ref="J71:M71"/>
    <mergeCell ref="N71:O71"/>
    <mergeCell ref="P71:Q71"/>
    <mergeCell ref="A38:Q39"/>
    <mergeCell ref="P122:Q122"/>
    <mergeCell ref="A144:C144"/>
    <mergeCell ref="A129:C129"/>
    <mergeCell ref="A134:C134"/>
    <mergeCell ref="P139:Q139"/>
    <mergeCell ref="P140:Q140"/>
    <mergeCell ref="P142:Q142"/>
    <mergeCell ref="P141:Q141"/>
    <mergeCell ref="D46:E46"/>
    <mergeCell ref="P126:Q126"/>
    <mergeCell ref="P114:Q114"/>
    <mergeCell ref="P134:Q134"/>
    <mergeCell ref="P135:Q135"/>
    <mergeCell ref="P136:Q136"/>
    <mergeCell ref="P137:Q137"/>
    <mergeCell ref="P138:Q138"/>
    <mergeCell ref="A57:Q58"/>
    <mergeCell ref="P59:Q59"/>
    <mergeCell ref="C45:E45"/>
    <mergeCell ref="P82:Q82"/>
    <mergeCell ref="A78:Q79"/>
    <mergeCell ref="D81:H81"/>
    <mergeCell ref="J81:M81"/>
    <mergeCell ref="N81:O81"/>
    <mergeCell ref="P81:Q81"/>
    <mergeCell ref="D60:H60"/>
    <mergeCell ref="J60:M60"/>
    <mergeCell ref="N60:O60"/>
    <mergeCell ref="P10:Q10"/>
    <mergeCell ref="A16:Q17"/>
    <mergeCell ref="A18:C18"/>
    <mergeCell ref="P18:Q18"/>
    <mergeCell ref="A19:C19"/>
    <mergeCell ref="J19:M19"/>
    <mergeCell ref="N19:O19"/>
    <mergeCell ref="P19:Q19"/>
    <mergeCell ref="P29:Q29"/>
    <mergeCell ref="A23:C23"/>
    <mergeCell ref="J29:M29"/>
    <mergeCell ref="N29:O29"/>
    <mergeCell ref="P11:Q11"/>
    <mergeCell ref="P20:Q20"/>
    <mergeCell ref="P21:Q21"/>
    <mergeCell ref="P22:Q22"/>
    <mergeCell ref="P23:Q23"/>
    <mergeCell ref="P176:Q176"/>
    <mergeCell ref="P111:Q111"/>
    <mergeCell ref="P112:Q112"/>
    <mergeCell ref="P173:Q173"/>
    <mergeCell ref="P174:Q174"/>
    <mergeCell ref="P172:Q172"/>
    <mergeCell ref="P113:Q113"/>
    <mergeCell ref="P121:Q121"/>
    <mergeCell ref="P149:Q149"/>
    <mergeCell ref="P157:Q157"/>
    <mergeCell ref="P158:Q158"/>
    <mergeCell ref="P160:Q160"/>
    <mergeCell ref="P169:Q169"/>
    <mergeCell ref="P168:Q168"/>
    <mergeCell ref="P152:Q152"/>
    <mergeCell ref="P89:Q89"/>
    <mergeCell ref="A98:D101"/>
    <mergeCell ref="E98:O99"/>
    <mergeCell ref="E100:O101"/>
    <mergeCell ref="A119:C119"/>
    <mergeCell ref="A104:C104"/>
    <mergeCell ref="A114:C114"/>
    <mergeCell ref="A102:Q103"/>
    <mergeCell ref="P144:Q144"/>
    <mergeCell ref="P221:Q221"/>
    <mergeCell ref="A215:C215"/>
    <mergeCell ref="P215:Q215"/>
    <mergeCell ref="P255:Q255"/>
    <mergeCell ref="P265:Q265"/>
    <mergeCell ref="P242:Q242"/>
    <mergeCell ref="P251:Q251"/>
    <mergeCell ref="P250:Q250"/>
    <mergeCell ref="P253:Q253"/>
    <mergeCell ref="A176:C176"/>
    <mergeCell ref="A190:C190"/>
    <mergeCell ref="P190:Q190"/>
    <mergeCell ref="P181:Q181"/>
    <mergeCell ref="P182:Q182"/>
    <mergeCell ref="P183:Q183"/>
    <mergeCell ref="A179:Q180"/>
    <mergeCell ref="D343:O343"/>
    <mergeCell ref="A191:C191"/>
    <mergeCell ref="A196:C196"/>
    <mergeCell ref="P191:Q191"/>
    <mergeCell ref="P193:Q193"/>
    <mergeCell ref="P192:Q192"/>
    <mergeCell ref="P194:Q194"/>
    <mergeCell ref="P195:Q195"/>
    <mergeCell ref="P196:Q196"/>
    <mergeCell ref="F326:G326"/>
    <mergeCell ref="I326:J326"/>
    <mergeCell ref="L326:M326"/>
    <mergeCell ref="C327:D327"/>
    <mergeCell ref="F327:G327"/>
    <mergeCell ref="I327:J327"/>
    <mergeCell ref="P209:Q209"/>
    <mergeCell ref="A210:C210"/>
    <mergeCell ref="P171:Q171"/>
    <mergeCell ref="P185:Q185"/>
    <mergeCell ref="B182:C182"/>
    <mergeCell ref="D388:O388"/>
    <mergeCell ref="D391:O391"/>
    <mergeCell ref="D394:O394"/>
    <mergeCell ref="D355:O355"/>
    <mergeCell ref="Q369:R369"/>
    <mergeCell ref="D364:O364"/>
    <mergeCell ref="D367:O367"/>
    <mergeCell ref="D358:O358"/>
    <mergeCell ref="D361:O361"/>
    <mergeCell ref="Q367:R367"/>
    <mergeCell ref="Q368:R368"/>
    <mergeCell ref="D376:O376"/>
    <mergeCell ref="D379:O379"/>
    <mergeCell ref="D382:O382"/>
    <mergeCell ref="D385:O385"/>
    <mergeCell ref="N233:O233"/>
    <mergeCell ref="P252:Q252"/>
    <mergeCell ref="P210:Q210"/>
    <mergeCell ref="P220:Q220"/>
    <mergeCell ref="A289:N290"/>
    <mergeCell ref="C294:J294"/>
    <mergeCell ref="D295:J295"/>
    <mergeCell ref="A188:Q189"/>
    <mergeCell ref="A227:C227"/>
    <mergeCell ref="P227:Q227"/>
    <mergeCell ref="P222:Q222"/>
    <mergeCell ref="P223:Q223"/>
    <mergeCell ref="P224:Q224"/>
    <mergeCell ref="P225:Q225"/>
    <mergeCell ref="P226:Q226"/>
    <mergeCell ref="P219:Q219"/>
    <mergeCell ref="A203:C203"/>
    <mergeCell ref="P276:Q276"/>
    <mergeCell ref="P243:Q243"/>
    <mergeCell ref="P244:Q244"/>
    <mergeCell ref="A236:C236"/>
    <mergeCell ref="P236:Q236"/>
    <mergeCell ref="A238:Q239"/>
    <mergeCell ref="P218:Q218"/>
    <mergeCell ref="P202:Q202"/>
    <mergeCell ref="P203:Q203"/>
    <mergeCell ref="A206:Q207"/>
    <mergeCell ref="A208:C208"/>
    <mergeCell ref="P208:Q208"/>
    <mergeCell ref="P249:Q249"/>
    <mergeCell ref="D397:O397"/>
    <mergeCell ref="D400:O400"/>
    <mergeCell ref="D403:O403"/>
    <mergeCell ref="D406:O406"/>
    <mergeCell ref="A1:C1"/>
    <mergeCell ref="A2:C2"/>
    <mergeCell ref="D352:O352"/>
    <mergeCell ref="D370:O370"/>
    <mergeCell ref="D373:O373"/>
    <mergeCell ref="D86:O86"/>
    <mergeCell ref="A59:C59"/>
    <mergeCell ref="D339:O339"/>
    <mergeCell ref="J241:M241"/>
    <mergeCell ref="N241:O241"/>
    <mergeCell ref="A244:C244"/>
    <mergeCell ref="A230:Q231"/>
    <mergeCell ref="A232:C232"/>
    <mergeCell ref="P232:Q232"/>
    <mergeCell ref="D233:H233"/>
    <mergeCell ref="J233:M233"/>
    <mergeCell ref="A66:C66"/>
    <mergeCell ref="P66:Q66"/>
    <mergeCell ref="P9:Q9"/>
    <mergeCell ref="P41:Q41"/>
    <mergeCell ref="D469:O469"/>
    <mergeCell ref="D472:O472"/>
    <mergeCell ref="D475:O475"/>
    <mergeCell ref="D478:O478"/>
    <mergeCell ref="D409:O409"/>
    <mergeCell ref="D412:O412"/>
    <mergeCell ref="D415:O415"/>
    <mergeCell ref="D418:O418"/>
    <mergeCell ref="D421:O421"/>
    <mergeCell ref="D424:O424"/>
    <mergeCell ref="D427:O427"/>
    <mergeCell ref="D430:O430"/>
    <mergeCell ref="D433:O433"/>
    <mergeCell ref="D436:O436"/>
    <mergeCell ref="D439:O439"/>
    <mergeCell ref="D442:O442"/>
    <mergeCell ref="D445:O445"/>
    <mergeCell ref="D448:O448"/>
    <mergeCell ref="D451:O451"/>
    <mergeCell ref="D454:O454"/>
    <mergeCell ref="D457:O457"/>
    <mergeCell ref="D460:O460"/>
    <mergeCell ref="D463:O463"/>
    <mergeCell ref="D466:O466"/>
  </mergeCells>
  <pageMargins left="0.7" right="0.7" top="0.75" bottom="0.75" header="0.3" footer="0.3"/>
  <pageSetup paperSize="9" orientation="portrait" r:id="rId1"/>
  <ignoredErrors>
    <ignoredError sqref="E253 N22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3"/>
  <sheetViews>
    <sheetView zoomScale="86" zoomScaleNormal="86" workbookViewId="0">
      <selection activeCell="B21" sqref="B21"/>
    </sheetView>
  </sheetViews>
  <sheetFormatPr baseColWidth="10" defaultRowHeight="15"/>
  <cols>
    <col min="1" max="1" width="4" style="57" customWidth="1"/>
    <col min="2" max="2" width="40.85546875" customWidth="1"/>
    <col min="3" max="11" width="15.7109375" customWidth="1"/>
    <col min="12" max="12" width="28.140625" customWidth="1"/>
  </cols>
  <sheetData>
    <row r="1" spans="1:12" ht="25.5" customHeight="1">
      <c r="A1" s="1173" t="s">
        <v>168</v>
      </c>
      <c r="B1" s="1174"/>
      <c r="C1" s="1156" t="s">
        <v>337</v>
      </c>
      <c r="D1" s="1157"/>
      <c r="E1" s="1157"/>
      <c r="F1" s="1157"/>
      <c r="G1" s="1157"/>
      <c r="H1" s="1157"/>
      <c r="I1" s="1157"/>
      <c r="J1" s="1157"/>
      <c r="K1" s="1158"/>
      <c r="L1" s="672" t="s">
        <v>344</v>
      </c>
    </row>
    <row r="2" spans="1:12" ht="27" customHeight="1">
      <c r="A2" s="1175"/>
      <c r="B2" s="1176"/>
      <c r="C2" s="1159"/>
      <c r="D2" s="1160"/>
      <c r="E2" s="1160"/>
      <c r="F2" s="1160"/>
      <c r="G2" s="1160"/>
      <c r="H2" s="1160"/>
      <c r="I2" s="1160"/>
      <c r="J2" s="1160"/>
      <c r="K2" s="1161"/>
      <c r="L2" s="673" t="s">
        <v>593</v>
      </c>
    </row>
    <row r="3" spans="1:12" ht="27" customHeight="1" thickBot="1">
      <c r="A3" s="1175"/>
      <c r="B3" s="1176"/>
      <c r="C3" s="1159" t="s">
        <v>343</v>
      </c>
      <c r="D3" s="1160"/>
      <c r="E3" s="1160"/>
      <c r="F3" s="1160"/>
      <c r="G3" s="1160"/>
      <c r="H3" s="1160"/>
      <c r="I3" s="1160"/>
      <c r="J3" s="1160"/>
      <c r="K3" s="1161"/>
      <c r="L3" s="788">
        <v>41962</v>
      </c>
    </row>
    <row r="4" spans="1:12">
      <c r="A4" s="1168"/>
      <c r="B4" s="1169"/>
      <c r="C4" s="1169"/>
      <c r="D4" s="1169"/>
      <c r="E4" s="1169"/>
      <c r="F4" s="1169"/>
      <c r="G4" s="1169"/>
      <c r="H4" s="1169"/>
      <c r="I4" s="1169"/>
      <c r="J4" s="1169"/>
      <c r="K4" s="1169"/>
      <c r="L4" s="1170"/>
    </row>
    <row r="5" spans="1:12">
      <c r="A5" s="1171"/>
      <c r="B5" s="902"/>
      <c r="C5" s="902"/>
      <c r="D5" s="902"/>
      <c r="E5" s="902"/>
      <c r="F5" s="902"/>
      <c r="G5" s="902"/>
      <c r="H5" s="902"/>
      <c r="I5" s="902"/>
      <c r="J5" s="902"/>
      <c r="K5" s="902"/>
      <c r="L5" s="1172"/>
    </row>
    <row r="6" spans="1:12" ht="23.45" customHeight="1">
      <c r="A6" s="1162" t="s">
        <v>31</v>
      </c>
      <c r="B6" s="1163"/>
      <c r="C6" s="721" t="s">
        <v>0</v>
      </c>
      <c r="D6" s="721" t="s">
        <v>1</v>
      </c>
      <c r="E6" s="721" t="s">
        <v>2</v>
      </c>
      <c r="F6" s="721" t="s">
        <v>3</v>
      </c>
      <c r="G6" s="721" t="s">
        <v>4</v>
      </c>
      <c r="H6" s="721" t="s">
        <v>5</v>
      </c>
      <c r="I6" s="721" t="s">
        <v>6</v>
      </c>
      <c r="J6" s="721" t="s">
        <v>7</v>
      </c>
      <c r="K6" s="721" t="s">
        <v>8</v>
      </c>
      <c r="L6" s="506" t="s">
        <v>164</v>
      </c>
    </row>
    <row r="7" spans="1:12">
      <c r="A7" s="1166" t="s">
        <v>9</v>
      </c>
      <c r="B7" s="1167"/>
      <c r="C7" s="1177"/>
      <c r="D7" s="1178"/>
      <c r="E7" s="1178"/>
      <c r="F7" s="1178"/>
      <c r="G7" s="1178"/>
      <c r="H7" s="1178"/>
      <c r="I7" s="1178"/>
      <c r="J7" s="1178"/>
      <c r="K7" s="1178"/>
      <c r="L7" s="1179"/>
    </row>
    <row r="8" spans="1:12" ht="17.25" customHeight="1">
      <c r="A8" s="1164" t="s">
        <v>10</v>
      </c>
      <c r="B8" s="1165"/>
      <c r="C8" s="234"/>
      <c r="D8" s="234"/>
      <c r="E8" s="234"/>
      <c r="F8" s="234"/>
      <c r="G8" s="234"/>
      <c r="H8" s="234"/>
      <c r="I8" s="234"/>
      <c r="J8" s="234"/>
      <c r="K8" s="234"/>
      <c r="L8" s="30"/>
    </row>
    <row r="9" spans="1:12" s="57" customFormat="1">
      <c r="A9" s="509"/>
      <c r="B9" s="505" t="str">
        <f>'03-APU-2014'!C35</f>
        <v>Subtotal  Equipos Menores y herr. de mano</v>
      </c>
      <c r="C9" s="162">
        <f>'03-APU-2014'!D35</f>
        <v>2704864.0886468608</v>
      </c>
      <c r="D9" s="162">
        <f>'03-APU-2014'!E35</f>
        <v>2704864.0886468608</v>
      </c>
      <c r="E9" s="162">
        <f>'03-APU-2014'!F35</f>
        <v>2704864.0886468608</v>
      </c>
      <c r="F9" s="162">
        <f>'03-APU-2014'!G35</f>
        <v>2753123.7286468609</v>
      </c>
      <c r="G9" s="162">
        <f>'03-APU-2014'!H35</f>
        <v>2753123.7286468609</v>
      </c>
      <c r="H9" s="162">
        <f>'03-APU-2014'!I35</f>
        <v>3261118.0286468607</v>
      </c>
      <c r="I9" s="162">
        <f>'03-APU-2014'!J35</f>
        <v>3769112.328646861</v>
      </c>
      <c r="J9" s="162">
        <f>'03-APU-2014'!K35</f>
        <v>3769112.328646861</v>
      </c>
      <c r="K9" s="162">
        <f>'03-APU-2014'!L35</f>
        <v>3769112.328646861</v>
      </c>
      <c r="L9" s="507" t="s">
        <v>523</v>
      </c>
    </row>
    <row r="10" spans="1:12" s="57" customFormat="1">
      <c r="A10" s="509"/>
      <c r="B10" s="505" t="str">
        <f>'03-APU-2014'!C43</f>
        <v>Subtotal  Equipos de perforacion</v>
      </c>
      <c r="C10" s="162">
        <f>'03-APU-2014'!D43*2</f>
        <v>2858000</v>
      </c>
      <c r="D10" s="162">
        <f>'03-APU-2014'!E43/1.1</f>
        <v>8900909.0909090899</v>
      </c>
      <c r="E10" s="162">
        <f>'03-APU-2014'!F43/1.1</f>
        <v>8900909.0909090899</v>
      </c>
      <c r="F10" s="162">
        <f>'03-APU-2014'!G43</f>
        <v>9980000</v>
      </c>
      <c r="G10" s="162">
        <f>'03-APU-2014'!H43</f>
        <v>9980000</v>
      </c>
      <c r="H10" s="162">
        <f>'03-APU-2014'!I43</f>
        <v>9980000</v>
      </c>
      <c r="I10" s="162">
        <f>'03-APU-2014'!J43</f>
        <v>32896000</v>
      </c>
      <c r="J10" s="162">
        <f>'03-APU-2014'!K43</f>
        <v>32896000</v>
      </c>
      <c r="K10" s="162">
        <f>'03-APU-2014'!L43</f>
        <v>32896000</v>
      </c>
      <c r="L10" s="507" t="s">
        <v>523</v>
      </c>
    </row>
    <row r="11" spans="1:12" s="57" customFormat="1" ht="16.5" customHeight="1">
      <c r="A11" s="509"/>
      <c r="B11" s="505" t="str">
        <f>'03-APU-2014'!C65</f>
        <v>Subtotal  Transporte Equipos y htas</v>
      </c>
      <c r="C11" s="162">
        <f>'03-APU-2014'!D65*1.06</f>
        <v>2330936.1133333337</v>
      </c>
      <c r="D11" s="162">
        <f>'03-APU-2014'!E65*1.06</f>
        <v>2330936.1133333337</v>
      </c>
      <c r="E11" s="162">
        <f>'03-APU-2014'!F65*1.06</f>
        <v>2330936.1133333337</v>
      </c>
      <c r="F11" s="162">
        <f>'03-APU-2014'!G65*1.06</f>
        <v>2330936.1133333337</v>
      </c>
      <c r="G11" s="162">
        <f>'03-APU-2014'!H65*1.06</f>
        <v>2330936.1133333337</v>
      </c>
      <c r="H11" s="162">
        <f>'03-APU-2014'!I65</f>
        <v>2628094.3333333335</v>
      </c>
      <c r="I11" s="162">
        <f>'03-APU-2014'!J65</f>
        <v>3021775.666666667</v>
      </c>
      <c r="J11" s="162">
        <f>'03-APU-2014'!K65</f>
        <v>3057192.3333333335</v>
      </c>
      <c r="K11" s="162">
        <f>'03-APU-2014'!L65</f>
        <v>3092609</v>
      </c>
      <c r="L11" s="507" t="s">
        <v>523</v>
      </c>
    </row>
    <row r="12" spans="1:12" s="57" customFormat="1" ht="17.25" customHeight="1">
      <c r="A12" s="664"/>
      <c r="B12" s="665" t="str">
        <f>'03-APU-2014'!C76</f>
        <v>Subtotal  Otros Gastos</v>
      </c>
      <c r="C12" s="657">
        <f>'03-APU-2014'!D76*1.21</f>
        <v>886930</v>
      </c>
      <c r="D12" s="657">
        <f>'03-APU-2014'!E76*1.22</f>
        <v>894260</v>
      </c>
      <c r="E12" s="657">
        <f>'03-APU-2014'!F76*1.25</f>
        <v>916250</v>
      </c>
      <c r="F12" s="657">
        <f>'03-APU-2014'!G76*1.4</f>
        <v>1026199.9999999999</v>
      </c>
      <c r="G12" s="657">
        <f>'03-APU-2014'!H76*1.4</f>
        <v>1026199.9999999999</v>
      </c>
      <c r="H12" s="657">
        <f>'03-APU-2014'!I76*1.4</f>
        <v>1026199.9999999999</v>
      </c>
      <c r="I12" s="657">
        <f>'03-APU-2014'!J76*1.4</f>
        <v>1026199.9999999999</v>
      </c>
      <c r="J12" s="657">
        <f>'03-APU-2014'!K76*1.4</f>
        <v>1026199.9999999999</v>
      </c>
      <c r="K12" s="657">
        <f>'03-APU-2014'!L76*1.4</f>
        <v>1026199.9999999999</v>
      </c>
      <c r="L12" s="658" t="s">
        <v>523</v>
      </c>
    </row>
    <row r="13" spans="1:12" s="57" customFormat="1" ht="21" customHeight="1">
      <c r="A13" s="844"/>
      <c r="B13" s="505" t="s">
        <v>607</v>
      </c>
      <c r="C13" s="111">
        <f>SUM(C9:C12)*0.16</f>
        <v>1404916.832316831</v>
      </c>
      <c r="D13" s="111">
        <f t="shared" ref="D13:K13" si="0">SUM(D9:D12)*0.16</f>
        <v>2372955.0868622856</v>
      </c>
      <c r="E13" s="111">
        <f t="shared" si="0"/>
        <v>2376473.4868622855</v>
      </c>
      <c r="F13" s="111">
        <f t="shared" si="0"/>
        <v>2574441.5747168311</v>
      </c>
      <c r="G13" s="111">
        <f t="shared" si="0"/>
        <v>2574441.5747168311</v>
      </c>
      <c r="H13" s="111">
        <f t="shared" si="0"/>
        <v>2703265.9779168307</v>
      </c>
      <c r="I13" s="111">
        <f t="shared" si="0"/>
        <v>6514094.0792501643</v>
      </c>
      <c r="J13" s="111">
        <f t="shared" si="0"/>
        <v>6519760.7459168313</v>
      </c>
      <c r="K13" s="111">
        <f t="shared" si="0"/>
        <v>6525427.4125834983</v>
      </c>
      <c r="L13" s="233"/>
    </row>
    <row r="14" spans="1:12" s="57" customFormat="1" ht="15.75" thickBot="1">
      <c r="A14" s="840"/>
      <c r="B14" s="841" t="s">
        <v>522</v>
      </c>
      <c r="C14" s="842">
        <f>SUM(C9:C13)</f>
        <v>10185647.034297025</v>
      </c>
      <c r="D14" s="842">
        <f t="shared" ref="D14:K14" si="1">SUM(D9:D13)</f>
        <v>17203924.379751571</v>
      </c>
      <c r="E14" s="842">
        <f t="shared" si="1"/>
        <v>17229432.779751569</v>
      </c>
      <c r="F14" s="842">
        <f t="shared" si="1"/>
        <v>18664701.416697025</v>
      </c>
      <c r="G14" s="842">
        <f t="shared" si="1"/>
        <v>18664701.416697025</v>
      </c>
      <c r="H14" s="842">
        <f t="shared" si="1"/>
        <v>19598678.339897022</v>
      </c>
      <c r="I14" s="842">
        <f t="shared" si="1"/>
        <v>47227182.07456369</v>
      </c>
      <c r="J14" s="842">
        <f t="shared" si="1"/>
        <v>47268265.407897025</v>
      </c>
      <c r="K14" s="842">
        <f t="shared" si="1"/>
        <v>47309348.741230361</v>
      </c>
      <c r="L14" s="843"/>
    </row>
    <row r="15" spans="1:12" ht="15.75" thickBot="1">
      <c r="A15" s="789"/>
      <c r="B15" s="631"/>
      <c r="C15" s="631"/>
      <c r="D15" s="631"/>
      <c r="E15" s="631"/>
      <c r="F15" s="631"/>
      <c r="G15" s="631"/>
      <c r="H15" s="631"/>
      <c r="I15" s="631"/>
      <c r="J15" s="631"/>
      <c r="K15" s="631"/>
      <c r="L15" s="790"/>
    </row>
    <row r="16" spans="1:12">
      <c r="A16" s="510" t="s">
        <v>13</v>
      </c>
      <c r="B16" s="511"/>
      <c r="C16" s="512"/>
      <c r="D16" s="513"/>
      <c r="E16" s="513"/>
      <c r="F16" s="513"/>
      <c r="G16" s="513"/>
      <c r="H16" s="513"/>
      <c r="I16" s="513"/>
      <c r="J16" s="513"/>
      <c r="K16" s="513"/>
      <c r="L16" s="514"/>
    </row>
    <row r="17" spans="1:12">
      <c r="A17" s="508"/>
      <c r="B17" s="722" t="s">
        <v>14</v>
      </c>
      <c r="C17" s="162"/>
      <c r="D17" s="162"/>
      <c r="E17" s="162">
        <f>E55*D50</f>
        <v>1439474.3193600001</v>
      </c>
      <c r="F17" s="162">
        <f>E57*D50*0.28</f>
        <v>1611956.7851520004</v>
      </c>
      <c r="G17" s="162">
        <f>E57*D50</f>
        <v>5756988.5184000004</v>
      </c>
      <c r="H17" s="162">
        <f>E36*D29</f>
        <v>8863028.5764095988</v>
      </c>
      <c r="I17" s="162">
        <f>E37*D29</f>
        <v>12762990.390988799</v>
      </c>
      <c r="J17" s="162">
        <f>E38*D29</f>
        <v>17371688.8370688</v>
      </c>
      <c r="K17" s="162">
        <f>E39*D29</f>
        <v>22689760.695091199</v>
      </c>
      <c r="L17" s="507" t="s">
        <v>523</v>
      </c>
    </row>
    <row r="18" spans="1:12">
      <c r="A18" s="508"/>
      <c r="B18" s="722" t="s">
        <v>15</v>
      </c>
      <c r="C18" s="162">
        <f>'03-APU-2014'!D88</f>
        <v>471176.76161116624</v>
      </c>
      <c r="D18" s="111">
        <f>'03-APU-2014'!E88</f>
        <v>673109.65944452316</v>
      </c>
      <c r="E18" s="111">
        <f>'03-APU-2014'!F88</f>
        <v>875042.55727788014</v>
      </c>
      <c r="F18" s="111">
        <f>'03-APU-2014'!G88</f>
        <v>1278908.3529445941</v>
      </c>
      <c r="G18" s="111">
        <f>'03-APU-2014'!H88</f>
        <v>1615463.1826668556</v>
      </c>
      <c r="H18" s="111">
        <f>'03-APU-2014'!I88</f>
        <v>2019328.9783335696</v>
      </c>
      <c r="I18" s="111">
        <f>'03-APU-2014'!J88</f>
        <v>2423194.7740002833</v>
      </c>
      <c r="J18" s="111">
        <f>'03-APU-2014'!K88</f>
        <v>2827060.5696669975</v>
      </c>
      <c r="K18" s="111">
        <f>'03-APU-2014'!$L$88</f>
        <v>3230926.3653337113</v>
      </c>
      <c r="L18" s="507" t="s">
        <v>523</v>
      </c>
    </row>
    <row r="19" spans="1:12">
      <c r="A19" s="660"/>
      <c r="B19" s="661" t="s">
        <v>11</v>
      </c>
      <c r="C19" s="657">
        <f>'03-APU-2014'!$D$83</f>
        <v>1532000</v>
      </c>
      <c r="D19" s="657">
        <f>'03-APU-2014'!$D$83</f>
        <v>1532000</v>
      </c>
      <c r="E19" s="657">
        <f>'03-APU-2014'!$D$83</f>
        <v>1532000</v>
      </c>
      <c r="F19" s="657">
        <f>'03-APU-2014'!$D$83</f>
        <v>1532000</v>
      </c>
      <c r="G19" s="657">
        <f>'03-APU-2014'!$D$83</f>
        <v>1532000</v>
      </c>
      <c r="H19" s="657">
        <f>'03-APU-2014'!$D$83</f>
        <v>1532000</v>
      </c>
      <c r="I19" s="657">
        <f>'03-APU-2014'!$D$83</f>
        <v>1532000</v>
      </c>
      <c r="J19" s="657">
        <f>'03-APU-2014'!$D$83</f>
        <v>1532000</v>
      </c>
      <c r="K19" s="657">
        <f>'03-APU-2014'!$D$83</f>
        <v>1532000</v>
      </c>
      <c r="L19" s="658" t="s">
        <v>523</v>
      </c>
    </row>
    <row r="20" spans="1:12" s="57" customFormat="1" ht="15.75" thickBot="1">
      <c r="A20" s="832"/>
      <c r="B20" s="833" t="s">
        <v>633</v>
      </c>
      <c r="C20" s="831">
        <f>SUM(C17:C19)*0.16</f>
        <v>320508.28185778658</v>
      </c>
      <c r="D20" s="831">
        <f t="shared" ref="D20:K20" si="2">SUM(D17:D19)*0.16</f>
        <v>352817.54551112367</v>
      </c>
      <c r="E20" s="831">
        <f t="shared" si="2"/>
        <v>615442.70026206085</v>
      </c>
      <c r="F20" s="831">
        <f t="shared" si="2"/>
        <v>707658.42209545511</v>
      </c>
      <c r="G20" s="831">
        <f t="shared" si="2"/>
        <v>1424712.2721706969</v>
      </c>
      <c r="H20" s="831">
        <f t="shared" si="2"/>
        <v>1986297.2087589072</v>
      </c>
      <c r="I20" s="831">
        <f t="shared" si="2"/>
        <v>2674909.6263982533</v>
      </c>
      <c r="J20" s="831">
        <f t="shared" si="2"/>
        <v>3476919.9050777275</v>
      </c>
      <c r="K20" s="831">
        <f t="shared" si="2"/>
        <v>4392429.9296679851</v>
      </c>
      <c r="L20" s="834"/>
    </row>
    <row r="21" spans="1:12" ht="15.75" thickBot="1">
      <c r="A21" s="662"/>
      <c r="B21" s="663" t="s">
        <v>522</v>
      </c>
      <c r="C21" s="787">
        <f>C22</f>
        <v>3253159.0608565337</v>
      </c>
      <c r="D21" s="787">
        <f t="shared" ref="D21:K21" si="3">D22</f>
        <v>3836890.8074334702</v>
      </c>
      <c r="E21" s="787">
        <f t="shared" si="3"/>
        <v>5354351.4922799291</v>
      </c>
      <c r="F21" s="787">
        <f t="shared" si="3"/>
        <v>5130523.5601920495</v>
      </c>
      <c r="G21" s="787">
        <f t="shared" si="3"/>
        <v>10329163.973237552</v>
      </c>
      <c r="H21" s="787">
        <f t="shared" si="3"/>
        <v>14400654.763502076</v>
      </c>
      <c r="I21" s="787">
        <f t="shared" si="3"/>
        <v>19393094.791387334</v>
      </c>
      <c r="J21" s="787">
        <f t="shared" si="3"/>
        <v>25207669.311813526</v>
      </c>
      <c r="K21" s="787">
        <f t="shared" si="3"/>
        <v>31845116.990092896</v>
      </c>
      <c r="L21" s="659"/>
    </row>
    <row r="22" spans="1:12" s="57" customFormat="1" ht="15.75" thickBot="1">
      <c r="A22" s="662"/>
      <c r="B22" s="663" t="s">
        <v>606</v>
      </c>
      <c r="C22" s="787">
        <f>SUM(C17:C20)*1.4</f>
        <v>3253159.0608565337</v>
      </c>
      <c r="D22" s="787">
        <f>SUM(D17:D20)*1.5</f>
        <v>3836890.8074334702</v>
      </c>
      <c r="E22" s="787">
        <f>SUM(E17:E20)*1.2</f>
        <v>5354351.4922799291</v>
      </c>
      <c r="F22" s="787">
        <f>SUM(F17:F20)</f>
        <v>5130523.5601920495</v>
      </c>
      <c r="G22" s="787">
        <f t="shared" ref="G22:K22" si="4">SUM(G17:G20)</f>
        <v>10329163.973237552</v>
      </c>
      <c r="H22" s="787">
        <f t="shared" si="4"/>
        <v>14400654.763502076</v>
      </c>
      <c r="I22" s="787">
        <f t="shared" si="4"/>
        <v>19393094.791387334</v>
      </c>
      <c r="J22" s="787">
        <f t="shared" si="4"/>
        <v>25207669.311813526</v>
      </c>
      <c r="K22" s="787">
        <f t="shared" si="4"/>
        <v>31845116.990092896</v>
      </c>
      <c r="L22" s="659"/>
    </row>
    <row r="23" spans="1:12" s="57" customFormat="1" ht="15.75" thickBo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B24" s="780" t="s">
        <v>166</v>
      </c>
      <c r="C24" s="781"/>
      <c r="D24" s="782">
        <f>J29</f>
        <v>6.54E-2</v>
      </c>
      <c r="E24" s="783" t="s">
        <v>371</v>
      </c>
      <c r="G24" t="s">
        <v>527</v>
      </c>
      <c r="J24" s="529">
        <v>2464.19</v>
      </c>
      <c r="K24" t="s">
        <v>382</v>
      </c>
    </row>
    <row r="25" spans="1:12">
      <c r="B25" s="315" t="s">
        <v>378</v>
      </c>
      <c r="C25" s="59"/>
      <c r="D25" s="148">
        <v>3849.31</v>
      </c>
      <c r="E25" s="30" t="s">
        <v>379</v>
      </c>
      <c r="G25" s="57" t="s">
        <v>528</v>
      </c>
      <c r="J25">
        <v>2028.48</v>
      </c>
      <c r="K25" s="57" t="s">
        <v>382</v>
      </c>
    </row>
    <row r="26" spans="1:12">
      <c r="B26" s="126" t="s">
        <v>376</v>
      </c>
      <c r="C26" s="59"/>
      <c r="D26" s="3">
        <v>20</v>
      </c>
      <c r="E26" s="30" t="s">
        <v>377</v>
      </c>
    </row>
    <row r="27" spans="1:12">
      <c r="B27" s="784" t="s">
        <v>22</v>
      </c>
      <c r="C27" s="59"/>
      <c r="D27" s="3">
        <v>55.42</v>
      </c>
      <c r="E27" s="30" t="s">
        <v>372</v>
      </c>
      <c r="G27" t="s">
        <v>529</v>
      </c>
      <c r="J27" s="530">
        <f>J25/J24</f>
        <v>0.82318327726352269</v>
      </c>
    </row>
    <row r="28" spans="1:12">
      <c r="B28" s="784" t="s">
        <v>21</v>
      </c>
      <c r="C28" s="59"/>
      <c r="D28" s="3">
        <v>24</v>
      </c>
      <c r="E28" s="30" t="s">
        <v>373</v>
      </c>
      <c r="G28" t="s">
        <v>530</v>
      </c>
      <c r="J28">
        <v>4.8599999999999997E-2</v>
      </c>
      <c r="K28" t="s">
        <v>531</v>
      </c>
    </row>
    <row r="29" spans="1:12">
      <c r="B29" s="315" t="s">
        <v>548</v>
      </c>
      <c r="C29" s="59"/>
      <c r="D29" s="148">
        <v>2028.48</v>
      </c>
      <c r="E29" s="30" t="s">
        <v>380</v>
      </c>
      <c r="G29" t="s">
        <v>532</v>
      </c>
      <c r="J29" s="531">
        <v>6.54E-2</v>
      </c>
      <c r="K29" s="57" t="s">
        <v>531</v>
      </c>
    </row>
    <row r="30" spans="1:12" s="57" customFormat="1" ht="15.75" thickBot="1">
      <c r="B30" s="785" t="s">
        <v>20</v>
      </c>
      <c r="C30" s="786"/>
      <c r="D30" s="31">
        <v>800</v>
      </c>
      <c r="E30" s="630" t="s">
        <v>374</v>
      </c>
    </row>
    <row r="31" spans="1:12" ht="15.75" thickBot="1"/>
    <row r="32" spans="1:12" ht="21" customHeight="1" thickBot="1">
      <c r="B32" s="1153" t="s">
        <v>375</v>
      </c>
      <c r="C32" s="1154"/>
      <c r="D32" s="1154"/>
      <c r="E32" s="1155"/>
    </row>
    <row r="33" spans="2:10" ht="30.75" thickBot="1">
      <c r="B33" s="145" t="s">
        <v>16</v>
      </c>
      <c r="C33" s="146" t="s">
        <v>19</v>
      </c>
      <c r="D33" s="146" t="s">
        <v>18</v>
      </c>
      <c r="E33" s="147" t="s">
        <v>17</v>
      </c>
    </row>
    <row r="34" spans="2:10">
      <c r="B34" s="140" t="s">
        <v>3</v>
      </c>
      <c r="C34" s="141">
        <v>1002.1</v>
      </c>
      <c r="D34" s="142">
        <f t="shared" ref="D34:D42" si="5">C34*$D$24</f>
        <v>65.53734</v>
      </c>
      <c r="E34" s="143">
        <f t="shared" ref="E34:E42" si="6">D34*$D$28</f>
        <v>1572.89616</v>
      </c>
    </row>
    <row r="35" spans="2:10">
      <c r="B35" s="54" t="s">
        <v>4</v>
      </c>
      <c r="C35" s="46">
        <v>1781.6</v>
      </c>
      <c r="D35" s="139">
        <f t="shared" si="5"/>
        <v>116.51664</v>
      </c>
      <c r="E35" s="144">
        <f t="shared" si="6"/>
        <v>2796.3993599999999</v>
      </c>
      <c r="G35" s="241"/>
      <c r="H35" s="242"/>
      <c r="J35" s="156"/>
    </row>
    <row r="36" spans="2:10">
      <c r="B36" s="54" t="s">
        <v>5</v>
      </c>
      <c r="C36" s="46">
        <v>2783.7</v>
      </c>
      <c r="D36" s="139">
        <f t="shared" si="5"/>
        <v>182.05398</v>
      </c>
      <c r="E36" s="144">
        <f t="shared" si="6"/>
        <v>4369.2955199999997</v>
      </c>
    </row>
    <row r="37" spans="2:10">
      <c r="B37" s="54" t="s">
        <v>6</v>
      </c>
      <c r="C37" s="46">
        <v>4008.6</v>
      </c>
      <c r="D37" s="139">
        <f t="shared" si="5"/>
        <v>262.16244</v>
      </c>
      <c r="E37" s="144">
        <f t="shared" si="6"/>
        <v>6291.8985599999996</v>
      </c>
      <c r="G37" s="528"/>
    </row>
    <row r="38" spans="2:10">
      <c r="B38" s="54" t="s">
        <v>7</v>
      </c>
      <c r="C38" s="46">
        <v>5456.1</v>
      </c>
      <c r="D38" s="139">
        <f t="shared" si="5"/>
        <v>356.82894000000005</v>
      </c>
      <c r="E38" s="144">
        <f t="shared" si="6"/>
        <v>8563.8945600000006</v>
      </c>
    </row>
    <row r="39" spans="2:10">
      <c r="B39" s="54" t="s">
        <v>8</v>
      </c>
      <c r="C39" s="46">
        <v>7126.4</v>
      </c>
      <c r="D39" s="139">
        <f t="shared" si="5"/>
        <v>466.06655999999998</v>
      </c>
      <c r="E39" s="144">
        <f t="shared" si="6"/>
        <v>11185.59744</v>
      </c>
    </row>
    <row r="40" spans="2:10">
      <c r="B40" s="54" t="s">
        <v>240</v>
      </c>
      <c r="C40" s="46">
        <v>9019.2999999999993</v>
      </c>
      <c r="D40" s="139">
        <f t="shared" si="5"/>
        <v>589.86221999999998</v>
      </c>
      <c r="E40" s="144">
        <f t="shared" si="6"/>
        <v>14156.69328</v>
      </c>
    </row>
    <row r="41" spans="2:10">
      <c r="B41" s="54" t="s">
        <v>241</v>
      </c>
      <c r="C41" s="46">
        <v>11135</v>
      </c>
      <c r="D41" s="139">
        <f t="shared" si="5"/>
        <v>728.22900000000004</v>
      </c>
      <c r="E41" s="144">
        <f t="shared" si="6"/>
        <v>17477.495999999999</v>
      </c>
    </row>
    <row r="42" spans="2:10" ht="15.75" thickBot="1">
      <c r="B42" s="47" t="s">
        <v>242</v>
      </c>
      <c r="C42" s="48">
        <v>13473.3</v>
      </c>
      <c r="D42" s="137">
        <f t="shared" si="5"/>
        <v>881.15382</v>
      </c>
      <c r="E42" s="138">
        <f t="shared" si="6"/>
        <v>21147.69168</v>
      </c>
    </row>
    <row r="43" spans="2:10">
      <c r="B43" s="5"/>
      <c r="C43" s="6"/>
      <c r="D43" s="6"/>
      <c r="E43" s="6"/>
    </row>
    <row r="44" spans="2:10">
      <c r="B44" s="45" t="s">
        <v>24</v>
      </c>
      <c r="C44" s="45"/>
      <c r="D44" s="45"/>
      <c r="E44" s="45"/>
    </row>
    <row r="45" spans="2:10">
      <c r="B45" s="57"/>
      <c r="C45" s="57"/>
      <c r="D45" s="57"/>
      <c r="E45" s="57"/>
      <c r="G45" s="156"/>
    </row>
    <row r="46" spans="2:10">
      <c r="B46" s="149" t="s">
        <v>23</v>
      </c>
      <c r="C46" s="59"/>
      <c r="D46" s="779">
        <v>0.56000000000000005</v>
      </c>
      <c r="E46" s="3" t="s">
        <v>371</v>
      </c>
      <c r="G46" s="156"/>
    </row>
    <row r="47" spans="2:10">
      <c r="B47" s="149" t="s">
        <v>383</v>
      </c>
      <c r="C47" s="59"/>
      <c r="D47" s="148">
        <v>1145.6600000000001</v>
      </c>
      <c r="E47" s="3" t="s">
        <v>379</v>
      </c>
    </row>
    <row r="48" spans="2:10">
      <c r="B48" s="58" t="s">
        <v>26</v>
      </c>
      <c r="C48" s="59"/>
      <c r="D48" s="3">
        <v>19.71</v>
      </c>
      <c r="E48" s="3" t="s">
        <v>372</v>
      </c>
    </row>
    <row r="49" spans="2:7">
      <c r="B49" s="58" t="s">
        <v>27</v>
      </c>
      <c r="C49" s="59"/>
      <c r="D49" s="3">
        <v>8</v>
      </c>
      <c r="E49" s="3" t="s">
        <v>373</v>
      </c>
      <c r="G49" s="156"/>
    </row>
    <row r="50" spans="2:7" s="57" customFormat="1">
      <c r="B50" s="149" t="s">
        <v>548</v>
      </c>
      <c r="C50" s="59"/>
      <c r="D50" s="148">
        <v>2028.48</v>
      </c>
      <c r="E50" s="3" t="s">
        <v>382</v>
      </c>
    </row>
    <row r="51" spans="2:7" ht="21.75" customHeight="1">
      <c r="B51" s="58" t="s">
        <v>28</v>
      </c>
      <c r="C51" s="59"/>
      <c r="D51" s="3">
        <v>275</v>
      </c>
      <c r="E51" s="3" t="s">
        <v>374</v>
      </c>
    </row>
    <row r="52" spans="2:7" ht="15.75" thickBot="1">
      <c r="B52" s="5"/>
      <c r="C52" s="5"/>
      <c r="D52" s="5"/>
      <c r="E52" s="5"/>
    </row>
    <row r="53" spans="2:7" ht="15.75" thickBot="1">
      <c r="B53" s="153" t="s">
        <v>25</v>
      </c>
      <c r="C53" s="154"/>
      <c r="D53" s="154"/>
      <c r="E53" s="155"/>
    </row>
    <row r="54" spans="2:7" ht="30.75" thickBot="1">
      <c r="B54" s="145" t="s">
        <v>16</v>
      </c>
      <c r="C54" s="146" t="s">
        <v>19</v>
      </c>
      <c r="D54" s="146" t="s">
        <v>29</v>
      </c>
      <c r="E54" s="147" t="s">
        <v>381</v>
      </c>
    </row>
    <row r="55" spans="2:7">
      <c r="B55" s="151" t="s">
        <v>2</v>
      </c>
      <c r="C55" s="141">
        <v>158.4</v>
      </c>
      <c r="D55" s="152">
        <f>C55*$D$46</f>
        <v>88.704000000000008</v>
      </c>
      <c r="E55" s="109">
        <f t="shared" ref="E55:E61" si="7">D55*$D$49</f>
        <v>709.63200000000006</v>
      </c>
    </row>
    <row r="56" spans="2:7">
      <c r="B56" s="54" t="s">
        <v>3</v>
      </c>
      <c r="C56" s="46">
        <v>368.4</v>
      </c>
      <c r="D56" s="150">
        <f t="shared" ref="D56:D61" si="8">C56*$D$46</f>
        <v>206.304</v>
      </c>
      <c r="E56" s="110">
        <f t="shared" si="7"/>
        <v>1650.432</v>
      </c>
    </row>
    <row r="57" spans="2:7">
      <c r="B57" s="54" t="s">
        <v>4</v>
      </c>
      <c r="C57" s="46">
        <v>633.5</v>
      </c>
      <c r="D57" s="150">
        <f t="shared" si="8"/>
        <v>354.76000000000005</v>
      </c>
      <c r="E57" s="110">
        <f t="shared" si="7"/>
        <v>2838.0800000000004</v>
      </c>
    </row>
    <row r="58" spans="2:7">
      <c r="B58" s="54" t="s">
        <v>5</v>
      </c>
      <c r="C58" s="46">
        <v>989.9</v>
      </c>
      <c r="D58" s="150">
        <f t="shared" si="8"/>
        <v>554.34400000000005</v>
      </c>
      <c r="E58" s="110">
        <f t="shared" si="7"/>
        <v>4434.7520000000004</v>
      </c>
    </row>
    <row r="59" spans="2:7">
      <c r="B59" s="54" t="s">
        <v>6</v>
      </c>
      <c r="C59" s="46">
        <v>1425.4</v>
      </c>
      <c r="D59" s="150">
        <f t="shared" si="8"/>
        <v>798.22400000000016</v>
      </c>
      <c r="E59" s="110">
        <f t="shared" si="7"/>
        <v>6385.7920000000013</v>
      </c>
    </row>
    <row r="60" spans="2:7">
      <c r="B60" s="54" t="s">
        <v>7</v>
      </c>
      <c r="C60" s="46">
        <v>1940.2</v>
      </c>
      <c r="D60" s="150">
        <f t="shared" si="8"/>
        <v>1086.5120000000002</v>
      </c>
      <c r="E60" s="110">
        <f t="shared" si="7"/>
        <v>8692.0960000000014</v>
      </c>
    </row>
    <row r="61" spans="2:7" ht="15.75" thickBot="1">
      <c r="B61" s="157" t="s">
        <v>8</v>
      </c>
      <c r="C61" s="158">
        <v>2534.1</v>
      </c>
      <c r="D61" s="159">
        <f t="shared" si="8"/>
        <v>1419.096</v>
      </c>
      <c r="E61" s="160">
        <f t="shared" si="7"/>
        <v>11352.768</v>
      </c>
    </row>
    <row r="62" spans="2:7" ht="15.75" thickTop="1">
      <c r="B62" s="45"/>
      <c r="C62" s="45"/>
      <c r="D62" s="45"/>
      <c r="E62" s="45"/>
    </row>
    <row r="63" spans="2:7">
      <c r="B63" s="45" t="s">
        <v>30</v>
      </c>
      <c r="C63" s="45"/>
      <c r="D63" s="45"/>
      <c r="E63" s="45"/>
    </row>
  </sheetData>
  <mergeCells count="9">
    <mergeCell ref="B32:E32"/>
    <mergeCell ref="C1:K2"/>
    <mergeCell ref="C3:K3"/>
    <mergeCell ref="A6:B6"/>
    <mergeCell ref="A8:B8"/>
    <mergeCell ref="A7:B7"/>
    <mergeCell ref="A4:L5"/>
    <mergeCell ref="A1:B3"/>
    <mergeCell ref="C7:L7"/>
  </mergeCells>
  <pageMargins left="0.7" right="0.7" top="0.75" bottom="0.75" header="0.3" footer="0.3"/>
  <pageSetup orientation="landscape" r:id="rId1"/>
  <ignoredErrors>
    <ignoredError sqref="K18 F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F72"/>
  <sheetViews>
    <sheetView workbookViewId="0">
      <pane ySplit="5" topLeftCell="A6" activePane="bottomLeft" state="frozen"/>
      <selection pane="bottomLeft" activeCell="C61" sqref="C61"/>
    </sheetView>
  </sheetViews>
  <sheetFormatPr baseColWidth="10" defaultRowHeight="15"/>
  <cols>
    <col min="1" max="1" width="26.7109375" customWidth="1"/>
    <col min="2" max="2" width="38.28515625" customWidth="1"/>
    <col min="3" max="3" width="14.5703125" customWidth="1"/>
    <col min="4" max="4" width="14.85546875" customWidth="1"/>
    <col min="5" max="5" width="14.140625" customWidth="1"/>
    <col min="6" max="6" width="18.85546875" customWidth="1"/>
  </cols>
  <sheetData>
    <row r="1" spans="1:6" ht="15" customHeight="1">
      <c r="A1" s="1197" t="s">
        <v>167</v>
      </c>
      <c r="B1" s="1180" t="s">
        <v>337</v>
      </c>
      <c r="C1" s="1181"/>
      <c r="D1" s="1181"/>
      <c r="E1" s="1182"/>
      <c r="F1" s="835" t="s">
        <v>345</v>
      </c>
    </row>
    <row r="2" spans="1:6" ht="15" customHeight="1">
      <c r="A2" s="1198"/>
      <c r="B2" s="1159"/>
      <c r="C2" s="1160"/>
      <c r="D2" s="1160"/>
      <c r="E2" s="1161"/>
      <c r="F2" s="835" t="s">
        <v>593</v>
      </c>
    </row>
    <row r="3" spans="1:6" ht="29.25" customHeight="1" thickBot="1">
      <c r="A3" s="1198"/>
      <c r="B3" s="1183" t="s">
        <v>69</v>
      </c>
      <c r="C3" s="1184"/>
      <c r="D3" s="1184"/>
      <c r="E3" s="1185"/>
      <c r="F3" s="836">
        <v>41962</v>
      </c>
    </row>
    <row r="4" spans="1:6">
      <c r="A4" s="1193" t="s">
        <v>31</v>
      </c>
      <c r="B4" s="1194"/>
      <c r="C4" s="1216" t="s">
        <v>63</v>
      </c>
      <c r="D4" s="1216"/>
      <c r="E4" s="1216"/>
      <c r="F4" s="1217"/>
    </row>
    <row r="5" spans="1:6">
      <c r="A5" s="1195"/>
      <c r="B5" s="1196"/>
      <c r="C5" s="327" t="s">
        <v>0</v>
      </c>
      <c r="D5" s="327" t="s">
        <v>1</v>
      </c>
      <c r="E5" s="327" t="s">
        <v>2</v>
      </c>
      <c r="F5" s="553" t="s">
        <v>3</v>
      </c>
    </row>
    <row r="6" spans="1:6">
      <c r="A6" s="1218" t="s">
        <v>32</v>
      </c>
      <c r="B6" s="1219"/>
      <c r="C6" s="1186"/>
      <c r="D6" s="1186"/>
      <c r="E6" s="1186"/>
      <c r="F6" s="1187"/>
    </row>
    <row r="7" spans="1:6">
      <c r="A7" s="1211" t="s">
        <v>33</v>
      </c>
      <c r="B7" s="1212"/>
      <c r="C7" s="1188"/>
      <c r="D7" s="1188"/>
      <c r="E7" s="1188"/>
      <c r="F7" s="1189"/>
    </row>
    <row r="8" spans="1:6" ht="10.5" customHeight="1">
      <c r="A8" s="1190"/>
      <c r="B8" s="1191"/>
      <c r="C8" s="1191"/>
      <c r="D8" s="1191"/>
      <c r="E8" s="1191"/>
      <c r="F8" s="1192"/>
    </row>
    <row r="9" spans="1:6">
      <c r="A9" s="1211" t="s">
        <v>34</v>
      </c>
      <c r="B9" s="1212"/>
      <c r="C9" s="176"/>
      <c r="D9" s="176"/>
      <c r="E9" s="176"/>
      <c r="F9" s="177"/>
    </row>
    <row r="10" spans="1:6">
      <c r="A10" s="1205" t="s">
        <v>35</v>
      </c>
      <c r="B10" s="1206"/>
      <c r="C10" s="176">
        <f>'03-APU-2014'!D114</f>
        <v>302073.86135050002</v>
      </c>
      <c r="D10" s="176">
        <f>'03-APU-2014'!E114</f>
        <v>302073.86135050002</v>
      </c>
      <c r="E10" s="176">
        <f>'03-APU-2014'!F114</f>
        <v>302073.86135050002</v>
      </c>
      <c r="F10" s="177">
        <f>'03-APU-2014'!G114</f>
        <v>302073.86135050002</v>
      </c>
    </row>
    <row r="11" spans="1:6">
      <c r="A11" s="1205" t="s">
        <v>36</v>
      </c>
      <c r="B11" s="1206"/>
      <c r="C11" s="176">
        <f>'03-APU-2014'!D129</f>
        <v>265686.27339793002</v>
      </c>
      <c r="D11" s="176">
        <f>'03-APU-2014'!E129</f>
        <v>265686.27339793002</v>
      </c>
      <c r="E11" s="176">
        <f>'03-APU-2014'!F129</f>
        <v>265686.27339793002</v>
      </c>
      <c r="F11" s="177">
        <f>'03-APU-2014'!G129</f>
        <v>265686.27339793002</v>
      </c>
    </row>
    <row r="12" spans="1:6" ht="11.25" customHeight="1">
      <c r="A12" s="1205"/>
      <c r="B12" s="1206"/>
      <c r="C12" s="176"/>
      <c r="D12" s="176"/>
      <c r="E12" s="176"/>
      <c r="F12" s="177"/>
    </row>
    <row r="13" spans="1:6">
      <c r="A13" s="1211" t="s">
        <v>37</v>
      </c>
      <c r="B13" s="1212"/>
      <c r="C13" s="176"/>
      <c r="D13" s="176"/>
      <c r="E13" s="176"/>
      <c r="F13" s="177"/>
    </row>
    <row r="14" spans="1:6">
      <c r="A14" s="1205" t="s">
        <v>38</v>
      </c>
      <c r="B14" s="1206"/>
      <c r="C14" s="176">
        <f>'03-APU-2014'!$D$144</f>
        <v>474603.17987826344</v>
      </c>
      <c r="D14" s="176">
        <f>'03-APU-2014'!$D$144</f>
        <v>474603.17987826344</v>
      </c>
      <c r="E14" s="176">
        <f>'03-APU-2014'!$D$144</f>
        <v>474603.17987826344</v>
      </c>
      <c r="F14" s="177">
        <f>'03-APU-2014'!$D$144</f>
        <v>474603.17987826344</v>
      </c>
    </row>
    <row r="15" spans="1:6">
      <c r="A15" s="1205" t="s">
        <v>39</v>
      </c>
      <c r="B15" s="1206"/>
      <c r="C15" s="176">
        <f>'03-APU-2014'!D160</f>
        <v>740289.45327619347</v>
      </c>
      <c r="D15" s="176">
        <f>'03-APU-2014'!E160</f>
        <v>740289.45327619347</v>
      </c>
      <c r="E15" s="176">
        <f>'03-APU-2014'!F160</f>
        <v>740289.45327619347</v>
      </c>
      <c r="F15" s="177">
        <f>'03-APU-2014'!G160</f>
        <v>740289.45327619347</v>
      </c>
    </row>
    <row r="16" spans="1:6">
      <c r="A16" s="1205" t="s">
        <v>40</v>
      </c>
      <c r="B16" s="1206"/>
      <c r="C16" s="176">
        <f>'03-APU-2014'!D176</f>
        <v>596995.36707874015</v>
      </c>
      <c r="D16" s="176">
        <f>'03-APU-2014'!E176</f>
        <v>596995.36707874015</v>
      </c>
      <c r="E16" s="176">
        <f>'03-APU-2014'!F176</f>
        <v>596995.36707874015</v>
      </c>
      <c r="F16" s="177">
        <f>'03-APU-2014'!G176</f>
        <v>596995.36707874015</v>
      </c>
    </row>
    <row r="17" spans="1:6" ht="12" customHeight="1">
      <c r="A17" s="1205"/>
      <c r="B17" s="1206"/>
      <c r="C17" s="176"/>
      <c r="D17" s="176"/>
      <c r="E17" s="176"/>
      <c r="F17" s="177"/>
    </row>
    <row r="18" spans="1:6">
      <c r="A18" s="1211" t="s">
        <v>441</v>
      </c>
      <c r="B18" s="1212"/>
      <c r="C18" s="176">
        <f>'03-APU-2014'!D203</f>
        <v>387280</v>
      </c>
      <c r="D18" s="176">
        <f>'03-APU-2014'!E203</f>
        <v>387280</v>
      </c>
      <c r="E18" s="176">
        <f>'03-APU-2014'!F203</f>
        <v>387280</v>
      </c>
      <c r="F18" s="176">
        <f>'03-APU-2014'!G203</f>
        <v>387280</v>
      </c>
    </row>
    <row r="19" spans="1:6" ht="9.75" customHeight="1">
      <c r="A19" s="1205"/>
      <c r="B19" s="1206"/>
      <c r="C19" s="176"/>
      <c r="D19" s="176"/>
      <c r="E19" s="176"/>
      <c r="F19" s="177"/>
    </row>
    <row r="20" spans="1:6">
      <c r="A20" s="1211" t="s">
        <v>597</v>
      </c>
      <c r="B20" s="1212"/>
      <c r="C20" s="176">
        <f>'03-APU-2014'!D66</f>
        <v>70000</v>
      </c>
      <c r="D20" s="176">
        <f>'03-APU-2014'!E66</f>
        <v>70000</v>
      </c>
      <c r="E20" s="176">
        <f>'03-APU-2014'!F66</f>
        <v>70000</v>
      </c>
      <c r="F20" s="176">
        <f>'03-APU-2014'!G66</f>
        <v>70000</v>
      </c>
    </row>
    <row r="21" spans="1:6" ht="11.25" customHeight="1">
      <c r="A21" s="1205"/>
      <c r="B21" s="1206"/>
      <c r="C21" s="176"/>
      <c r="D21" s="176"/>
      <c r="E21" s="176"/>
      <c r="F21" s="177"/>
    </row>
    <row r="22" spans="1:6" ht="6" customHeight="1">
      <c r="A22" s="1190"/>
      <c r="B22" s="1191"/>
      <c r="C22" s="176"/>
      <c r="D22" s="176"/>
      <c r="E22" s="176"/>
      <c r="F22" s="177"/>
    </row>
    <row r="23" spans="1:6">
      <c r="A23" s="1207" t="s">
        <v>46</v>
      </c>
      <c r="B23" s="1208"/>
      <c r="C23" s="555">
        <f>SUM(C16:C20)</f>
        <v>1054275.3670787401</v>
      </c>
      <c r="D23" s="555">
        <f>SUM(D16:D20)</f>
        <v>1054275.3670787401</v>
      </c>
      <c r="E23" s="555">
        <f>SUM(E16:E20)</f>
        <v>1054275.3670787401</v>
      </c>
      <c r="F23" s="556">
        <f>SUM(F16:F20)</f>
        <v>1054275.3670787401</v>
      </c>
    </row>
    <row r="24" spans="1:6">
      <c r="A24" s="1211" t="s">
        <v>47</v>
      </c>
      <c r="B24" s="1212"/>
      <c r="C24" s="176"/>
      <c r="D24" s="176"/>
      <c r="E24" s="176"/>
      <c r="F24" s="177"/>
    </row>
    <row r="25" spans="1:6">
      <c r="A25" s="1205" t="s">
        <v>48</v>
      </c>
      <c r="B25" s="1206"/>
      <c r="C25" s="176">
        <f>'03-APU-2014'!D218</f>
        <v>112096.10866666665</v>
      </c>
      <c r="D25" s="176">
        <f>'03-APU-2014'!E218</f>
        <v>112096.10866666665</v>
      </c>
      <c r="E25" s="176">
        <f>'03-APU-2014'!F218</f>
        <v>112096.10866666665</v>
      </c>
      <c r="F25" s="177">
        <f>'03-APU-2014'!G218</f>
        <v>112096.10866666665</v>
      </c>
    </row>
    <row r="26" spans="1:6">
      <c r="A26" s="1205" t="s">
        <v>49</v>
      </c>
      <c r="B26" s="1206"/>
      <c r="C26" s="176">
        <f>'03-APU-2014'!D219</f>
        <v>643274</v>
      </c>
      <c r="D26" s="176">
        <f>'03-APU-2014'!E219</f>
        <v>643274</v>
      </c>
      <c r="E26" s="176">
        <f>'03-APU-2014'!F219</f>
        <v>643274</v>
      </c>
      <c r="F26" s="177">
        <f>'03-APU-2014'!G219</f>
        <v>643274</v>
      </c>
    </row>
    <row r="27" spans="1:6">
      <c r="A27" s="1205" t="s">
        <v>50</v>
      </c>
      <c r="B27" s="1206"/>
      <c r="C27" s="176">
        <f>'03-APU-2014'!D220</f>
        <v>188506</v>
      </c>
      <c r="D27" s="176">
        <f>'03-APU-2014'!E220</f>
        <v>188506</v>
      </c>
      <c r="E27" s="176">
        <f>'03-APU-2014'!F220</f>
        <v>188506</v>
      </c>
      <c r="F27" s="177">
        <f>'03-APU-2014'!G220</f>
        <v>408576.75876240002</v>
      </c>
    </row>
    <row r="28" spans="1:6">
      <c r="A28" s="1205" t="s">
        <v>51</v>
      </c>
      <c r="B28" s="1206"/>
      <c r="C28" s="176">
        <f>'03-APU-2014'!D221</f>
        <v>322273.05143896001</v>
      </c>
      <c r="D28" s="176">
        <f>'03-APU-2014'!E221</f>
        <v>322273.05143896001</v>
      </c>
      <c r="E28" s="176">
        <f>'03-APU-2014'!F221</f>
        <v>322273.05143896001</v>
      </c>
      <c r="F28" s="177">
        <f>'03-APU-2014'!G221</f>
        <v>322273.05143896001</v>
      </c>
    </row>
    <row r="29" spans="1:6">
      <c r="A29" s="1205" t="s">
        <v>52</v>
      </c>
      <c r="B29" s="1206"/>
      <c r="C29" s="176">
        <f>'03-APU-2014'!D222</f>
        <v>597786.66666666663</v>
      </c>
      <c r="D29" s="176">
        <f>'03-APU-2014'!E222</f>
        <v>597786.66666666663</v>
      </c>
      <c r="E29" s="176">
        <f>'03-APU-2014'!F222</f>
        <v>597786.66666666663</v>
      </c>
      <c r="F29" s="177">
        <f>'03-APU-2014'!G222</f>
        <v>597786.66666666663</v>
      </c>
    </row>
    <row r="30" spans="1:6">
      <c r="A30" s="1205" t="s">
        <v>53</v>
      </c>
      <c r="B30" s="1206"/>
      <c r="C30" s="176">
        <f>'03-APU-2014'!D223</f>
        <v>76000</v>
      </c>
      <c r="D30" s="176">
        <f>'03-APU-2014'!E223</f>
        <v>76000</v>
      </c>
      <c r="E30" s="176">
        <f>'03-APU-2014'!F223</f>
        <v>76000</v>
      </c>
      <c r="F30" s="177">
        <f>'03-APU-2014'!G223</f>
        <v>76000</v>
      </c>
    </row>
    <row r="31" spans="1:6">
      <c r="A31" s="1205" t="s">
        <v>54</v>
      </c>
      <c r="B31" s="1206"/>
      <c r="C31" s="176">
        <f>'03-APU-2014'!D224</f>
        <v>257333.33333333334</v>
      </c>
      <c r="D31" s="176">
        <f>'03-APU-2014'!E224</f>
        <v>257333.33333333334</v>
      </c>
      <c r="E31" s="176">
        <f>'03-APU-2014'!F224</f>
        <v>257333.33333333334</v>
      </c>
      <c r="F31" s="177">
        <f>'03-APU-2014'!G224</f>
        <v>257333.33333333334</v>
      </c>
    </row>
    <row r="32" spans="1:6">
      <c r="A32" s="1205" t="s">
        <v>55</v>
      </c>
      <c r="B32" s="1206"/>
      <c r="C32" s="176">
        <f>'03-APU-2014'!D225</f>
        <v>206118.19571865443</v>
      </c>
      <c r="D32" s="176">
        <f>'03-APU-2014'!E225</f>
        <v>206118.19571865443</v>
      </c>
      <c r="E32" s="176">
        <f>'03-APU-2014'!F225</f>
        <v>206118.19571865443</v>
      </c>
      <c r="F32" s="176">
        <f>'03-APU-2014'!G225</f>
        <v>206118.19571865443</v>
      </c>
    </row>
    <row r="33" spans="1:6">
      <c r="A33" s="1205" t="s">
        <v>56</v>
      </c>
      <c r="B33" s="1206"/>
      <c r="C33" s="176">
        <f>'03-APU-2014'!D226</f>
        <v>322273.05143896001</v>
      </c>
      <c r="D33" s="176">
        <f>'03-APU-2014'!E226</f>
        <v>322273.05143896001</v>
      </c>
      <c r="E33" s="176">
        <f>'03-APU-2014'!F226</f>
        <v>322273.05143896001</v>
      </c>
      <c r="F33" s="177">
        <f>'03-APU-2014'!G226</f>
        <v>322273.05143896001</v>
      </c>
    </row>
    <row r="34" spans="1:6" ht="6" customHeight="1">
      <c r="A34" s="1190"/>
      <c r="B34" s="1191"/>
      <c r="C34" s="176"/>
      <c r="D34" s="176"/>
      <c r="E34" s="176"/>
      <c r="F34" s="177"/>
    </row>
    <row r="35" spans="1:6">
      <c r="A35" s="1213" t="s">
        <v>46</v>
      </c>
      <c r="B35" s="1214"/>
      <c r="C35" s="259">
        <f>SUM(C25,C26,C27,C28,C29,C30,C31,C32,C33)</f>
        <v>2725660.4072632408</v>
      </c>
      <c r="D35" s="259">
        <f>SUM(D25,D26,D27,D28,D29,D30,D31,D32,D33)</f>
        <v>2725660.4072632408</v>
      </c>
      <c r="E35" s="259">
        <f>SUM(E25,E26,E27,E28,E29,E30,E31,E32,E33)</f>
        <v>2725660.4072632408</v>
      </c>
      <c r="F35" s="260">
        <f>SUM(F25,F26,F27,F28,F29,F30,F31,F32,F33)</f>
        <v>2945731.1660256414</v>
      </c>
    </row>
    <row r="36" spans="1:6">
      <c r="A36" s="1211" t="s">
        <v>57</v>
      </c>
      <c r="B36" s="1212"/>
      <c r="C36" s="176"/>
      <c r="D36" s="176"/>
      <c r="E36" s="176"/>
      <c r="F36" s="177"/>
    </row>
    <row r="37" spans="1:6">
      <c r="A37" s="1205" t="s">
        <v>58</v>
      </c>
      <c r="B37" s="1206"/>
      <c r="C37" s="176">
        <f>'03-APU-2014'!D23*1.85</f>
        <v>1354158.0561570118</v>
      </c>
      <c r="D37" s="176">
        <f>'03-APU-2014'!E23*1.9</f>
        <v>1390756.9225396337</v>
      </c>
      <c r="E37" s="176">
        <f>'03-APU-2014'!F23*1.95</f>
        <v>1427355.7889222556</v>
      </c>
      <c r="F37" s="177">
        <f>'03-APU-2014'!G23*2</f>
        <v>1463954.6553048776</v>
      </c>
    </row>
    <row r="38" spans="1:6">
      <c r="A38" s="1205" t="s">
        <v>59</v>
      </c>
      <c r="B38" s="1206"/>
      <c r="C38" s="176">
        <f>'03-APU-2014'!D13*1.5</f>
        <v>1959525.4143786938</v>
      </c>
      <c r="D38" s="176">
        <f>'03-APU-2014'!E13*1.6</f>
        <v>2090160.4420039402</v>
      </c>
      <c r="E38" s="176">
        <f>'03-APU-2014'!F13*1.7</f>
        <v>2220795.4696291862</v>
      </c>
      <c r="F38" s="177">
        <f>'03-APU-2014'!G13*2.3</f>
        <v>3004605.6353806634</v>
      </c>
    </row>
    <row r="39" spans="1:6" ht="11.25" customHeight="1">
      <c r="A39" s="1190"/>
      <c r="B39" s="1191"/>
      <c r="C39" s="176"/>
      <c r="D39" s="176"/>
      <c r="E39" s="176"/>
      <c r="F39" s="177"/>
    </row>
    <row r="40" spans="1:6">
      <c r="A40" s="1207" t="s">
        <v>46</v>
      </c>
      <c r="B40" s="1208"/>
      <c r="C40" s="555">
        <f>SUM(C37,C38)</f>
        <v>3313683.4705357058</v>
      </c>
      <c r="D40" s="555">
        <f>SUM(D37,D38)</f>
        <v>3480917.3645435739</v>
      </c>
      <c r="E40" s="555">
        <f>SUM(E37,E38)</f>
        <v>3648151.2585514421</v>
      </c>
      <c r="F40" s="556">
        <f>SUM(F37,F38)</f>
        <v>4468560.290685541</v>
      </c>
    </row>
    <row r="41" spans="1:6">
      <c r="A41" s="1211" t="s">
        <v>60</v>
      </c>
      <c r="B41" s="1212"/>
      <c r="C41" s="176"/>
      <c r="D41" s="176"/>
      <c r="E41" s="176"/>
      <c r="F41" s="177"/>
    </row>
    <row r="42" spans="1:6">
      <c r="A42" s="1205" t="s">
        <v>61</v>
      </c>
      <c r="B42" s="1206"/>
      <c r="C42" s="176">
        <f>'03-APU-2014'!D253*1.05</f>
        <v>649272.31651376153</v>
      </c>
      <c r="D42" s="176">
        <f>'03-APU-2014'!E253*1.05</f>
        <v>649272.31651376153</v>
      </c>
      <c r="E42" s="176">
        <f>'03-APU-2014'!F253</f>
        <v>1225450.9174311925</v>
      </c>
      <c r="F42" s="177">
        <f>'03-APU-2014'!G253</f>
        <v>1555024.3119266054</v>
      </c>
    </row>
    <row r="43" spans="1:6" ht="10.5" customHeight="1">
      <c r="A43" s="1190"/>
      <c r="B43" s="1191"/>
      <c r="C43" s="176"/>
      <c r="D43" s="176"/>
      <c r="E43" s="176"/>
      <c r="F43" s="177"/>
    </row>
    <row r="44" spans="1:6">
      <c r="A44" s="1207" t="s">
        <v>46</v>
      </c>
      <c r="B44" s="1208"/>
      <c r="C44" s="555">
        <f>C42</f>
        <v>649272.31651376153</v>
      </c>
      <c r="D44" s="555">
        <f>D42</f>
        <v>649272.31651376153</v>
      </c>
      <c r="E44" s="555">
        <f>E42</f>
        <v>1225450.9174311925</v>
      </c>
      <c r="F44" s="556">
        <f>F42</f>
        <v>1555024.3119266054</v>
      </c>
    </row>
    <row r="45" spans="1:6">
      <c r="A45" s="1211" t="s">
        <v>62</v>
      </c>
      <c r="B45" s="1212"/>
      <c r="C45" s="176"/>
      <c r="D45" s="176"/>
      <c r="E45" s="176"/>
      <c r="F45" s="177"/>
    </row>
    <row r="46" spans="1:6">
      <c r="A46" s="1205" t="s">
        <v>63</v>
      </c>
      <c r="B46" s="1206"/>
      <c r="C46" s="176">
        <f>'03-APU-2014'!D192</f>
        <v>35917.131427959794</v>
      </c>
      <c r="D46" s="176">
        <f>'03-APU-2014'!E192</f>
        <v>48410.046707250061</v>
      </c>
      <c r="E46" s="176">
        <f>'03-APU-2014'!F192</f>
        <v>55976.959999999999</v>
      </c>
      <c r="F46" s="177">
        <f>'03-APU-2014'!G192</f>
        <v>108459.99999999999</v>
      </c>
    </row>
    <row r="47" spans="1:6">
      <c r="A47" s="1205" t="s">
        <v>64</v>
      </c>
      <c r="B47" s="1206"/>
      <c r="C47" s="176">
        <f>'03-APU-2014'!D193</f>
        <v>45472</v>
      </c>
      <c r="D47" s="176">
        <f>'03-APU-2014'!E193</f>
        <v>65888</v>
      </c>
      <c r="E47" s="176">
        <f>'03-APU-2014'!F193</f>
        <v>78880</v>
      </c>
      <c r="F47" s="177">
        <f>'03-APU-2014'!G193</f>
        <v>149640</v>
      </c>
    </row>
    <row r="48" spans="1:6" ht="12.75" customHeight="1">
      <c r="A48" s="1190"/>
      <c r="B48" s="1191"/>
      <c r="C48" s="176"/>
      <c r="D48" s="176"/>
      <c r="E48" s="176"/>
      <c r="F48" s="177"/>
    </row>
    <row r="49" spans="1:6">
      <c r="A49" s="1207" t="s">
        <v>46</v>
      </c>
      <c r="B49" s="1208"/>
      <c r="C49" s="555">
        <f>SUM(C46,C47)</f>
        <v>81389.131427959801</v>
      </c>
      <c r="D49" s="555">
        <f>SUM(D46,D47)</f>
        <v>114298.04670725006</v>
      </c>
      <c r="E49" s="555">
        <f>SUM(E46,E47)</f>
        <v>134856.95999999999</v>
      </c>
      <c r="F49" s="556">
        <f>SUM(F46,F47)</f>
        <v>258100</v>
      </c>
    </row>
    <row r="50" spans="1:6">
      <c r="A50" s="1205"/>
      <c r="B50" s="1206"/>
      <c r="C50" s="176"/>
      <c r="D50" s="176"/>
      <c r="E50" s="176"/>
      <c r="F50" s="177"/>
    </row>
    <row r="51" spans="1:6">
      <c r="A51" s="1209" t="s">
        <v>65</v>
      </c>
      <c r="B51" s="1210"/>
      <c r="C51" s="552">
        <f>SUM(C23,C35,C40,C44,C49)</f>
        <v>7824280.6928194081</v>
      </c>
      <c r="D51" s="552">
        <f>SUM(D23,D35,D40,D44,D49)</f>
        <v>8024423.5021065669</v>
      </c>
      <c r="E51" s="552">
        <f>SUM(E23,E35,E40,E44,E49)</f>
        <v>8788394.9103246164</v>
      </c>
      <c r="F51" s="554">
        <f>SUM(F23,F35,F40,F44,F49)</f>
        <v>10281691.135716528</v>
      </c>
    </row>
    <row r="52" spans="1:6">
      <c r="A52" s="1205"/>
      <c r="B52" s="1206"/>
      <c r="C52" s="176"/>
      <c r="D52" s="176"/>
      <c r="E52" s="176"/>
      <c r="F52" s="177"/>
    </row>
    <row r="53" spans="1:6">
      <c r="A53" s="1203" t="s">
        <v>66</v>
      </c>
      <c r="B53" s="1204"/>
      <c r="C53" s="557">
        <f>'05-ED-2014'!C14</f>
        <v>10185647.034297025</v>
      </c>
      <c r="D53" s="557">
        <f>'05-ED-2014'!D14</f>
        <v>17203924.379751571</v>
      </c>
      <c r="E53" s="557">
        <f>'05-ED-2014'!E14</f>
        <v>17229432.779751569</v>
      </c>
      <c r="F53" s="558">
        <f>'05-ED-2014'!F14</f>
        <v>18664701.416697025</v>
      </c>
    </row>
    <row r="54" spans="1:6" ht="13.5" customHeight="1">
      <c r="A54" s="1205"/>
      <c r="B54" s="1206"/>
      <c r="C54" s="178"/>
      <c r="D54" s="178"/>
      <c r="E54" s="178"/>
      <c r="F54" s="179"/>
    </row>
    <row r="55" spans="1:6" ht="16.5" customHeight="1">
      <c r="A55" s="286" t="s">
        <v>365</v>
      </c>
      <c r="B55" s="258">
        <v>0.1</v>
      </c>
      <c r="C55" s="178">
        <f>SUM(C51,C53)*$B$55</f>
        <v>1800992.7727116433</v>
      </c>
      <c r="D55" s="178">
        <f>SUM(D51,D53)*$B$55</f>
        <v>2522834.7881858139</v>
      </c>
      <c r="E55" s="178">
        <f>SUM(E51,E53)*$B$55</f>
        <v>2601782.769007619</v>
      </c>
      <c r="F55" s="179">
        <f>SUM(F51,F53)*$B$55</f>
        <v>2894639.2552413554</v>
      </c>
    </row>
    <row r="56" spans="1:6" ht="20.25" customHeight="1">
      <c r="A56" s="286" t="s">
        <v>439</v>
      </c>
      <c r="B56" s="258">
        <v>0.1</v>
      </c>
      <c r="C56" s="178">
        <f>SUM(C51,C53)*$B$56</f>
        <v>1800992.7727116433</v>
      </c>
      <c r="D56" s="178">
        <f>SUM(D51,D53)*$B$56</f>
        <v>2522834.7881858139</v>
      </c>
      <c r="E56" s="178">
        <f>SUM(E51,E53)*$B$56</f>
        <v>2601782.769007619</v>
      </c>
      <c r="F56" s="179">
        <f>SUM(F51,F53)*$B$56</f>
        <v>2894639.2552413554</v>
      </c>
    </row>
    <row r="57" spans="1:6" ht="19.5" customHeight="1">
      <c r="A57" s="286" t="s">
        <v>440</v>
      </c>
      <c r="B57" s="258">
        <v>0.05</v>
      </c>
      <c r="C57" s="178">
        <f>SUM(C51,C53)*$B$57</f>
        <v>900496.38635582163</v>
      </c>
      <c r="D57" s="178">
        <f>SUM(D51,D53)*$B$57</f>
        <v>1261417.394092907</v>
      </c>
      <c r="E57" s="178">
        <f>SUM(E51,E53)*$B$57</f>
        <v>1300891.3845038095</v>
      </c>
      <c r="F57" s="179">
        <f>SUM(F51,F53)*$B$57</f>
        <v>1447319.6276206777</v>
      </c>
    </row>
    <row r="58" spans="1:6" s="57" customFormat="1" ht="19.5" customHeight="1">
      <c r="A58" s="286" t="s">
        <v>445</v>
      </c>
      <c r="B58" s="258">
        <v>0.16</v>
      </c>
      <c r="C58" s="178">
        <f>C57*$B$58</f>
        <v>144079.42181693146</v>
      </c>
      <c r="D58" s="178">
        <f>D57*$B$58</f>
        <v>201826.78305486511</v>
      </c>
      <c r="E58" s="178">
        <f>E57*$B$58</f>
        <v>208142.62152060954</v>
      </c>
      <c r="F58" s="179">
        <f>F57*$B$58</f>
        <v>231571.14041930845</v>
      </c>
    </row>
    <row r="59" spans="1:6" ht="10.5" customHeight="1">
      <c r="A59" s="1190"/>
      <c r="B59" s="1191"/>
      <c r="C59" s="176"/>
      <c r="D59" s="176"/>
      <c r="E59" s="176"/>
      <c r="F59" s="177"/>
    </row>
    <row r="60" spans="1:6">
      <c r="A60" s="1203" t="s">
        <v>13</v>
      </c>
      <c r="B60" s="1204"/>
      <c r="C60" s="557">
        <f>'05-ED-2014'!C21*1.08</f>
        <v>3513411.7857250567</v>
      </c>
      <c r="D60" s="557">
        <f>'05-ED-2014'!D21</f>
        <v>3836890.8074334702</v>
      </c>
      <c r="E60" s="557">
        <f>'05-ED-2014'!E21</f>
        <v>5354351.4922799291</v>
      </c>
      <c r="F60" s="558">
        <f>'05-ED-2014'!F21</f>
        <v>5130523.5601920495</v>
      </c>
    </row>
    <row r="61" spans="1:6" ht="7.5" customHeight="1">
      <c r="A61" s="286"/>
      <c r="B61" s="254"/>
      <c r="C61" s="178"/>
      <c r="D61" s="178"/>
      <c r="E61" s="178"/>
      <c r="F61" s="179"/>
    </row>
    <row r="62" spans="1:6">
      <c r="A62" s="286" t="s">
        <v>365</v>
      </c>
      <c r="B62" s="258">
        <v>0.1</v>
      </c>
      <c r="C62" s="178">
        <f>SUM(C60,C51)*$B$62</f>
        <v>1133769.2478544465</v>
      </c>
      <c r="D62" s="178">
        <f>SUM(D60,D51)*$B$62</f>
        <v>1186131.4309540037</v>
      </c>
      <c r="E62" s="178">
        <f>SUM(E60,E51)*$B$62</f>
        <v>1414274.6402604547</v>
      </c>
      <c r="F62" s="179">
        <f>SUM(F60,F51)*$B$62</f>
        <v>1541221.4695908576</v>
      </c>
    </row>
    <row r="63" spans="1:6" s="57" customFormat="1">
      <c r="A63" s="286" t="s">
        <v>439</v>
      </c>
      <c r="B63" s="258">
        <v>0.1</v>
      </c>
      <c r="C63" s="178">
        <f>SUM(C51,C60)*$B$63</f>
        <v>1133769.2478544465</v>
      </c>
      <c r="D63" s="178">
        <f>SUM(D51,D60)*$B$63</f>
        <v>1186131.4309540037</v>
      </c>
      <c r="E63" s="178">
        <f>SUM(E51,E60)*$B$63</f>
        <v>1414274.6402604547</v>
      </c>
      <c r="F63" s="179">
        <f>SUM(F51,F60)*$B$63</f>
        <v>1541221.4695908576</v>
      </c>
    </row>
    <row r="64" spans="1:6">
      <c r="A64" s="286" t="s">
        <v>440</v>
      </c>
      <c r="B64" s="258">
        <v>0.05</v>
      </c>
      <c r="C64" s="176">
        <f>SUM(C51,C60)*$B$64</f>
        <v>566884.62392722326</v>
      </c>
      <c r="D64" s="176">
        <f>SUM(D51,D60)*$B$64</f>
        <v>593065.71547700185</v>
      </c>
      <c r="E64" s="176">
        <f>SUM(E51,E60)*$B$64</f>
        <v>707137.32013022737</v>
      </c>
      <c r="F64" s="177">
        <f>SUM(F51,F60)*$B$64</f>
        <v>770610.73479542881</v>
      </c>
    </row>
    <row r="65" spans="1:6">
      <c r="A65" s="286" t="s">
        <v>445</v>
      </c>
      <c r="B65" s="258">
        <v>0.16</v>
      </c>
      <c r="C65" s="178">
        <f>C64*$B$65</f>
        <v>90701.53982835573</v>
      </c>
      <c r="D65" s="178">
        <f>D64*$B$65</f>
        <v>94890.514476320299</v>
      </c>
      <c r="E65" s="178">
        <f>E64*$B$65</f>
        <v>113141.97122083638</v>
      </c>
      <c r="F65" s="179">
        <f>F64*$B$65</f>
        <v>123297.71756726861</v>
      </c>
    </row>
    <row r="66" spans="1:6" ht="15.75" thickBot="1">
      <c r="A66" s="246"/>
      <c r="B66" s="671"/>
      <c r="C66" s="718"/>
      <c r="D66" s="718"/>
      <c r="E66" s="718"/>
      <c r="F66" s="719"/>
    </row>
    <row r="67" spans="1:6" ht="15.75" thickBot="1">
      <c r="A67" s="1199" t="s">
        <v>539</v>
      </c>
      <c r="B67" s="1200"/>
      <c r="C67" s="792">
        <f>SUM(C53,C51,C55:C58)</f>
        <v>22656489.080712467</v>
      </c>
      <c r="D67" s="792">
        <f t="shared" ref="D67:F67" si="0">SUM(D53,D51,D55:D58)</f>
        <v>31737261.635377534</v>
      </c>
      <c r="E67" s="792">
        <f t="shared" si="0"/>
        <v>32730427.234115843</v>
      </c>
      <c r="F67" s="792">
        <f t="shared" si="0"/>
        <v>36414561.830936253</v>
      </c>
    </row>
    <row r="68" spans="1:6" ht="15.75" thickBot="1">
      <c r="A68" s="1201" t="s">
        <v>67</v>
      </c>
      <c r="B68" s="1202"/>
      <c r="C68" s="793">
        <f>SUM(C51,C60,C62:C65)</f>
        <v>14262817.138008937</v>
      </c>
      <c r="D68" s="793">
        <f t="shared" ref="D68:F68" si="1">SUM(D51,D60,D62:D65)</f>
        <v>14921533.401401365</v>
      </c>
      <c r="E68" s="793">
        <f t="shared" si="1"/>
        <v>17791574.97447652</v>
      </c>
      <c r="F68" s="793">
        <f t="shared" si="1"/>
        <v>19388566.087452989</v>
      </c>
    </row>
    <row r="69" spans="1:6">
      <c r="A69" s="329"/>
      <c r="B69" s="329"/>
      <c r="C69" s="329"/>
      <c r="D69" s="329"/>
      <c r="E69" s="329"/>
      <c r="F69" s="329"/>
    </row>
    <row r="70" spans="1:6" ht="15" customHeight="1">
      <c r="A70" s="1215" t="s">
        <v>68</v>
      </c>
      <c r="B70" s="1215"/>
      <c r="C70" s="1215"/>
      <c r="D70" s="1215"/>
      <c r="E70" s="1215"/>
      <c r="F70" s="1215"/>
    </row>
    <row r="71" spans="1:6">
      <c r="A71" s="1215"/>
      <c r="B71" s="1215"/>
      <c r="C71" s="1215"/>
      <c r="D71" s="1215"/>
      <c r="E71" s="1215"/>
      <c r="F71" s="1215"/>
    </row>
    <row r="72" spans="1:6">
      <c r="A72" s="1215"/>
      <c r="B72" s="1215"/>
      <c r="C72" s="1215"/>
      <c r="D72" s="1215"/>
      <c r="E72" s="1215"/>
      <c r="F72" s="1215"/>
    </row>
  </sheetData>
  <mergeCells count="61">
    <mergeCell ref="A70:F72"/>
    <mergeCell ref="C4:F4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4:B44"/>
    <mergeCell ref="A45:B45"/>
    <mergeCell ref="A46:B46"/>
    <mergeCell ref="A38:B38"/>
    <mergeCell ref="A39:B39"/>
    <mergeCell ref="A40:B40"/>
    <mergeCell ref="A41:B41"/>
    <mergeCell ref="A42:B42"/>
    <mergeCell ref="A43:B43"/>
    <mergeCell ref="A67:B67"/>
    <mergeCell ref="A68:B68"/>
    <mergeCell ref="A59:B59"/>
    <mergeCell ref="A60:B60"/>
    <mergeCell ref="A47:B47"/>
    <mergeCell ref="A48:B48"/>
    <mergeCell ref="A49:B49"/>
    <mergeCell ref="A50:B50"/>
    <mergeCell ref="A51:B51"/>
    <mergeCell ref="A52:B52"/>
    <mergeCell ref="A53:B53"/>
    <mergeCell ref="A54:B54"/>
    <mergeCell ref="B1:E2"/>
    <mergeCell ref="B3:E3"/>
    <mergeCell ref="C6:F6"/>
    <mergeCell ref="C7:F7"/>
    <mergeCell ref="A8:F8"/>
    <mergeCell ref="A4:B5"/>
    <mergeCell ref="A1:A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2"/>
  <sheetViews>
    <sheetView tabSelected="1" zoomScale="90" zoomScaleNormal="90" workbookViewId="0">
      <pane ySplit="8" topLeftCell="A69" activePane="bottomLeft" state="frozen"/>
      <selection activeCell="G262" sqref="G262"/>
      <selection pane="bottomLeft" activeCell="D83" sqref="D83"/>
    </sheetView>
  </sheetViews>
  <sheetFormatPr baseColWidth="10" defaultRowHeight="15"/>
  <cols>
    <col min="1" max="1" width="25.85546875" style="57" customWidth="1"/>
    <col min="2" max="2" width="40.7109375" style="57" customWidth="1"/>
    <col min="3" max="3" width="16.7109375" style="57" customWidth="1"/>
    <col min="4" max="4" width="17.42578125" style="57" customWidth="1"/>
    <col min="5" max="5" width="17" style="57" customWidth="1"/>
    <col min="6" max="6" width="17.140625" style="57" customWidth="1"/>
    <col min="7" max="7" width="20.140625" style="57" customWidth="1"/>
    <col min="8" max="16384" width="11.42578125" style="57"/>
  </cols>
  <sheetData>
    <row r="1" spans="1:7" ht="15" customHeight="1">
      <c r="A1" s="1254" t="s">
        <v>167</v>
      </c>
      <c r="B1" s="1226" t="s">
        <v>337</v>
      </c>
      <c r="C1" s="1227"/>
      <c r="D1" s="1227"/>
      <c r="E1" s="1228"/>
      <c r="F1" s="1220" t="s">
        <v>401</v>
      </c>
      <c r="G1" s="1221"/>
    </row>
    <row r="2" spans="1:7" ht="18" customHeight="1">
      <c r="A2" s="1255"/>
      <c r="B2" s="1229"/>
      <c r="C2" s="1230"/>
      <c r="D2" s="1230"/>
      <c r="E2" s="1231"/>
      <c r="F2" s="1222" t="s">
        <v>564</v>
      </c>
      <c r="G2" s="1223"/>
    </row>
    <row r="3" spans="1:7" ht="26.25" customHeight="1" thickBot="1">
      <c r="A3" s="1255"/>
      <c r="B3" s="1229" t="s">
        <v>388</v>
      </c>
      <c r="C3" s="1230"/>
      <c r="D3" s="1230"/>
      <c r="E3" s="1231"/>
      <c r="F3" s="1224">
        <v>41959</v>
      </c>
      <c r="G3" s="1225"/>
    </row>
    <row r="4" spans="1:7" ht="27" customHeight="1">
      <c r="A4" s="1291" t="s">
        <v>400</v>
      </c>
      <c r="B4" s="1292"/>
      <c r="C4" s="1270" t="s">
        <v>389</v>
      </c>
      <c r="D4" s="1271"/>
      <c r="E4" s="1271"/>
      <c r="F4" s="1271"/>
      <c r="G4" s="1272"/>
    </row>
    <row r="5" spans="1:7" ht="15.75" thickBot="1">
      <c r="A5" s="1300"/>
      <c r="B5" s="1301"/>
      <c r="C5" s="1285"/>
      <c r="D5" s="1129"/>
      <c r="E5" s="1129"/>
      <c r="F5" s="1129"/>
      <c r="G5" s="1286"/>
    </row>
    <row r="6" spans="1:7" ht="15.75" thickBot="1">
      <c r="A6" s="1275" t="s">
        <v>399</v>
      </c>
      <c r="B6" s="1276"/>
      <c r="C6" s="559" t="s">
        <v>398</v>
      </c>
      <c r="D6" s="560" t="s">
        <v>90</v>
      </c>
      <c r="E6" s="559" t="s">
        <v>398</v>
      </c>
      <c r="F6" s="560" t="s">
        <v>90</v>
      </c>
      <c r="G6" s="562"/>
    </row>
    <row r="7" spans="1:7" ht="15.75" thickBot="1">
      <c r="A7" s="1256" t="s">
        <v>31</v>
      </c>
      <c r="B7" s="1257"/>
      <c r="C7" s="1273" t="s">
        <v>0</v>
      </c>
      <c r="D7" s="1274"/>
      <c r="E7" s="1273" t="s">
        <v>1</v>
      </c>
      <c r="F7" s="1274"/>
      <c r="G7" s="563" t="s">
        <v>2</v>
      </c>
    </row>
    <row r="8" spans="1:7" ht="6" customHeight="1" thickBot="1">
      <c r="A8" s="1258"/>
      <c r="B8" s="1259"/>
      <c r="C8" s="1252"/>
      <c r="D8" s="1253"/>
      <c r="E8" s="1252"/>
      <c r="F8" s="1253"/>
      <c r="G8" s="564"/>
    </row>
    <row r="9" spans="1:7" ht="15.75" thickBot="1">
      <c r="A9" s="1260" t="s">
        <v>32</v>
      </c>
      <c r="B9" s="1261"/>
      <c r="C9" s="181"/>
      <c r="D9" s="175"/>
      <c r="E9" s="181"/>
      <c r="F9" s="175"/>
      <c r="G9" s="565"/>
    </row>
    <row r="10" spans="1:7">
      <c r="A10" s="1262" t="s">
        <v>33</v>
      </c>
      <c r="B10" s="1263"/>
      <c r="C10" s="182"/>
      <c r="D10" s="17"/>
      <c r="E10" s="182"/>
      <c r="F10" s="17"/>
      <c r="G10" s="566"/>
    </row>
    <row r="11" spans="1:7">
      <c r="A11" s="1248"/>
      <c r="B11" s="1249"/>
      <c r="C11" s="183"/>
      <c r="D11" s="18"/>
      <c r="E11" s="183"/>
      <c r="F11" s="18"/>
      <c r="G11" s="567"/>
    </row>
    <row r="12" spans="1:7">
      <c r="A12" s="1250" t="s">
        <v>34</v>
      </c>
      <c r="B12" s="1251"/>
      <c r="C12" s="183"/>
      <c r="D12" s="18"/>
      <c r="E12" s="183"/>
      <c r="F12" s="18"/>
      <c r="G12" s="567"/>
    </row>
    <row r="13" spans="1:7">
      <c r="A13" s="1248" t="s">
        <v>35</v>
      </c>
      <c r="B13" s="1249"/>
      <c r="C13" s="184">
        <f>'03-APU-2014'!D114</f>
        <v>302073.86135050002</v>
      </c>
      <c r="D13" s="112">
        <f>C13</f>
        <v>302073.86135050002</v>
      </c>
      <c r="E13" s="184">
        <f>'03-APU-2014'!F114</f>
        <v>302073.86135050002</v>
      </c>
      <c r="F13" s="112">
        <f>E13</f>
        <v>302073.86135050002</v>
      </c>
      <c r="G13" s="561">
        <f>'03-APU-2014'!H114</f>
        <v>302073.86135050002</v>
      </c>
    </row>
    <row r="14" spans="1:7">
      <c r="A14" s="1248" t="s">
        <v>36</v>
      </c>
      <c r="B14" s="1249"/>
      <c r="C14" s="184">
        <f>'03-APU-2014'!D129</f>
        <v>265686.27339793002</v>
      </c>
      <c r="D14" s="112">
        <f>C14</f>
        <v>265686.27339793002</v>
      </c>
      <c r="E14" s="184">
        <f>'03-APU-2014'!F129</f>
        <v>265686.27339793002</v>
      </c>
      <c r="F14" s="112">
        <f>E14</f>
        <v>265686.27339793002</v>
      </c>
      <c r="G14" s="561">
        <f>'03-APU-2014'!H129</f>
        <v>265686.27339793002</v>
      </c>
    </row>
    <row r="15" spans="1:7">
      <c r="A15" s="1248"/>
      <c r="B15" s="1249"/>
      <c r="C15" s="183"/>
      <c r="D15" s="18"/>
      <c r="E15" s="183"/>
      <c r="F15" s="18"/>
      <c r="G15" s="567"/>
    </row>
    <row r="16" spans="1:7">
      <c r="A16" s="1250" t="s">
        <v>37</v>
      </c>
      <c r="B16" s="1251"/>
      <c r="C16" s="183"/>
      <c r="D16" s="18"/>
      <c r="E16" s="183"/>
      <c r="F16" s="18"/>
      <c r="G16" s="567"/>
    </row>
    <row r="17" spans="1:7">
      <c r="A17" s="1248" t="s">
        <v>38</v>
      </c>
      <c r="B17" s="1249"/>
      <c r="C17" s="184">
        <f>'03-APU-2014'!D144</f>
        <v>474603.17987826344</v>
      </c>
      <c r="D17" s="112">
        <f>'03-APU-2014'!E144</f>
        <v>474603.17987826344</v>
      </c>
      <c r="E17" s="184">
        <f>'03-APU-2014'!F144</f>
        <v>474603.17987826344</v>
      </c>
      <c r="F17" s="112">
        <f>'03-APU-2014'!G144</f>
        <v>474603.17987826344</v>
      </c>
      <c r="G17" s="561">
        <f>'03-APU-2014'!H144</f>
        <v>474603.17987826344</v>
      </c>
    </row>
    <row r="18" spans="1:7">
      <c r="A18" s="1248" t="s">
        <v>39</v>
      </c>
      <c r="B18" s="1249"/>
      <c r="C18" s="184">
        <f>'03-APU-2014'!D160</f>
        <v>740289.45327619347</v>
      </c>
      <c r="D18" s="112">
        <f>'03-APU-2014'!E160</f>
        <v>740289.45327619347</v>
      </c>
      <c r="E18" s="184">
        <f>'03-APU-2014'!F160</f>
        <v>740289.45327619347</v>
      </c>
      <c r="F18" s="112">
        <f>'03-APU-2014'!G160</f>
        <v>740289.45327619347</v>
      </c>
      <c r="G18" s="561">
        <f>'03-APU-2014'!H160</f>
        <v>740289.45327619347</v>
      </c>
    </row>
    <row r="19" spans="1:7">
      <c r="A19" s="1248" t="s">
        <v>40</v>
      </c>
      <c r="B19" s="1249"/>
      <c r="C19" s="184">
        <f>'03-APU-2014'!D176</f>
        <v>596995.36707874015</v>
      </c>
      <c r="D19" s="112">
        <f>'03-APU-2014'!E176</f>
        <v>596995.36707874015</v>
      </c>
      <c r="E19" s="184">
        <f>'03-APU-2014'!F176</f>
        <v>596995.36707874015</v>
      </c>
      <c r="F19" s="112">
        <f>'03-APU-2014'!G176</f>
        <v>596995.36707874015</v>
      </c>
      <c r="G19" s="561">
        <f>'03-APU-2014'!H176</f>
        <v>596995.36707874015</v>
      </c>
    </row>
    <row r="20" spans="1:7">
      <c r="A20" s="1248"/>
      <c r="B20" s="1249"/>
      <c r="C20" s="183"/>
      <c r="D20" s="18"/>
      <c r="E20" s="183"/>
      <c r="F20" s="18"/>
      <c r="G20" s="567"/>
    </row>
    <row r="21" spans="1:7">
      <c r="A21" s="1246" t="s">
        <v>441</v>
      </c>
      <c r="B21" s="1247"/>
      <c r="C21" s="184">
        <f>'02-HH-2014'!$G$51*9.5</f>
        <v>520404.84697461245</v>
      </c>
      <c r="D21" s="112">
        <f>'02-HH-2014'!$G$51*9.5</f>
        <v>520404.84697461245</v>
      </c>
      <c r="E21" s="184">
        <f>'02-HH-2014'!$G$51*9.5</f>
        <v>520404.84697461245</v>
      </c>
      <c r="F21" s="112">
        <f>'02-HH-2014'!$G$51*9.5</f>
        <v>520404.84697461245</v>
      </c>
      <c r="G21" s="561">
        <f>'02-HH-2014'!$G$51*9.5</f>
        <v>520404.84697461245</v>
      </c>
    </row>
    <row r="22" spans="1:7">
      <c r="A22" s="1248"/>
      <c r="B22" s="1249"/>
      <c r="C22" s="183"/>
      <c r="D22" s="18"/>
      <c r="E22" s="183"/>
      <c r="F22" s="18"/>
      <c r="G22" s="567"/>
    </row>
    <row r="23" spans="1:7">
      <c r="A23" s="1250" t="s">
        <v>42</v>
      </c>
      <c r="B23" s="1251"/>
      <c r="C23" s="184">
        <f>'03-APU-2014'!D66</f>
        <v>70000</v>
      </c>
      <c r="D23" s="112">
        <f>C23</f>
        <v>70000</v>
      </c>
      <c r="E23" s="112">
        <f>D23</f>
        <v>70000</v>
      </c>
      <c r="F23" s="112">
        <f>E23</f>
        <v>70000</v>
      </c>
      <c r="G23" s="112">
        <f>F23</f>
        <v>70000</v>
      </c>
    </row>
    <row r="24" spans="1:7" ht="6" customHeight="1" thickBot="1">
      <c r="A24" s="1238"/>
      <c r="B24" s="1239"/>
      <c r="C24" s="185"/>
      <c r="D24" s="19"/>
      <c r="E24" s="185"/>
      <c r="F24" s="19"/>
      <c r="G24" s="568"/>
    </row>
    <row r="25" spans="1:7" ht="15.75" thickBot="1">
      <c r="A25" s="1240" t="s">
        <v>46</v>
      </c>
      <c r="B25" s="1241"/>
      <c r="C25" s="250">
        <f>SUM(C13:C23)</f>
        <v>2970052.9819562398</v>
      </c>
      <c r="D25" s="577">
        <f>SUM(D13:D23)</f>
        <v>2970052.9819562398</v>
      </c>
      <c r="E25" s="250">
        <f>SUM(E13:E23)</f>
        <v>2970052.9819562398</v>
      </c>
      <c r="F25" s="577">
        <f>SUM(F13:F23)</f>
        <v>2970052.9819562398</v>
      </c>
      <c r="G25" s="243">
        <f>SUM(G13:G23)</f>
        <v>2970052.9819562398</v>
      </c>
    </row>
    <row r="26" spans="1:7">
      <c r="A26" s="1242"/>
      <c r="B26" s="1243"/>
      <c r="C26" s="186"/>
      <c r="D26" s="174"/>
      <c r="E26" s="186"/>
      <c r="F26" s="174"/>
      <c r="G26" s="569"/>
    </row>
    <row r="27" spans="1:7">
      <c r="A27" s="1211" t="s">
        <v>47</v>
      </c>
      <c r="B27" s="1244"/>
      <c r="C27" s="183"/>
      <c r="D27" s="18"/>
      <c r="E27" s="183"/>
      <c r="F27" s="18"/>
      <c r="G27" s="567"/>
    </row>
    <row r="28" spans="1:7">
      <c r="A28" s="1205" t="s">
        <v>397</v>
      </c>
      <c r="B28" s="1245"/>
      <c r="C28" s="184">
        <v>12500</v>
      </c>
      <c r="D28" s="112">
        <v>12500</v>
      </c>
      <c r="E28" s="184">
        <v>12500</v>
      </c>
      <c r="F28" s="112">
        <v>12500</v>
      </c>
      <c r="G28" s="561">
        <v>12500</v>
      </c>
    </row>
    <row r="29" spans="1:7">
      <c r="A29" s="1205" t="s">
        <v>48</v>
      </c>
      <c r="B29" s="1245"/>
      <c r="C29" s="184">
        <f>'03-APU-2014'!D218</f>
        <v>112096.10866666665</v>
      </c>
      <c r="D29" s="112">
        <f>'03-APU-2014'!E218</f>
        <v>112096.10866666665</v>
      </c>
      <c r="E29" s="184">
        <f>'03-APU-2014'!F218</f>
        <v>112096.10866666665</v>
      </c>
      <c r="F29" s="112">
        <f>'03-APU-2014'!G218</f>
        <v>112096.10866666665</v>
      </c>
      <c r="G29" s="561">
        <f>'03-APU-2014'!H218</f>
        <v>112096.10866666665</v>
      </c>
    </row>
    <row r="30" spans="1:7">
      <c r="A30" s="1205" t="s">
        <v>49</v>
      </c>
      <c r="B30" s="1245"/>
      <c r="C30" s="184">
        <f>'03-APU-2014'!D219</f>
        <v>643274</v>
      </c>
      <c r="D30" s="112">
        <f>'03-APU-2014'!E219</f>
        <v>643274</v>
      </c>
      <c r="E30" s="184">
        <f>'03-APU-2014'!F219</f>
        <v>643274</v>
      </c>
      <c r="F30" s="112">
        <f>'03-APU-2014'!G219</f>
        <v>643274</v>
      </c>
      <c r="G30" s="561">
        <f>'03-APU-2014'!H219</f>
        <v>643274</v>
      </c>
    </row>
    <row r="31" spans="1:7">
      <c r="A31" s="1205" t="s">
        <v>50</v>
      </c>
      <c r="B31" s="1245"/>
      <c r="C31" s="184">
        <f>'03-APU-2014'!D220</f>
        <v>188506</v>
      </c>
      <c r="D31" s="112">
        <f>'03-APU-2014'!E220</f>
        <v>188506</v>
      </c>
      <c r="E31" s="184">
        <f>'03-APU-2014'!F220</f>
        <v>188506</v>
      </c>
      <c r="F31" s="112">
        <f>'03-APU-2014'!G220</f>
        <v>408576.75876240002</v>
      </c>
      <c r="G31" s="561">
        <f>'03-APU-2014'!H220</f>
        <v>672573.48968221399</v>
      </c>
    </row>
    <row r="32" spans="1:7">
      <c r="A32" s="1205" t="s">
        <v>51</v>
      </c>
      <c r="B32" s="1245"/>
      <c r="C32" s="184">
        <f>'03-APU-2014'!D221</f>
        <v>322273.05143896001</v>
      </c>
      <c r="D32" s="112">
        <f>'03-APU-2014'!E221</f>
        <v>322273.05143896001</v>
      </c>
      <c r="E32" s="184">
        <f>'03-APU-2014'!F221</f>
        <v>322273.05143896001</v>
      </c>
      <c r="F32" s="112">
        <f>'03-APU-2014'!G221</f>
        <v>322273.05143896001</v>
      </c>
      <c r="G32" s="561">
        <f>'03-APU-2014'!H221</f>
        <v>322273.05143896001</v>
      </c>
    </row>
    <row r="33" spans="1:7">
      <c r="A33" s="1205" t="s">
        <v>52</v>
      </c>
      <c r="B33" s="1245"/>
      <c r="C33" s="184">
        <f>'03-APU-2014'!D222</f>
        <v>597786.66666666663</v>
      </c>
      <c r="D33" s="112">
        <f>'03-APU-2014'!E222</f>
        <v>597786.66666666663</v>
      </c>
      <c r="E33" s="184">
        <f>'03-APU-2014'!F222</f>
        <v>597786.66666666663</v>
      </c>
      <c r="F33" s="112">
        <f>'03-APU-2014'!G222</f>
        <v>597786.66666666663</v>
      </c>
      <c r="G33" s="561">
        <f>'03-APU-2014'!H222</f>
        <v>597786.66666666663</v>
      </c>
    </row>
    <row r="34" spans="1:7">
      <c r="A34" s="1205" t="s">
        <v>53</v>
      </c>
      <c r="B34" s="1245"/>
      <c r="C34" s="184">
        <f>'03-APU-2014'!D223</f>
        <v>76000</v>
      </c>
      <c r="D34" s="112">
        <f>'03-APU-2014'!E223</f>
        <v>76000</v>
      </c>
      <c r="E34" s="184">
        <f>'03-APU-2014'!F223</f>
        <v>76000</v>
      </c>
      <c r="F34" s="112">
        <f>'03-APU-2014'!G223</f>
        <v>76000</v>
      </c>
      <c r="G34" s="561">
        <f>'03-APU-2014'!H223</f>
        <v>76000</v>
      </c>
    </row>
    <row r="35" spans="1:7">
      <c r="A35" s="1205" t="s">
        <v>54</v>
      </c>
      <c r="B35" s="1245"/>
      <c r="C35" s="184">
        <f>'03-APU-2014'!D224</f>
        <v>257333.33333333334</v>
      </c>
      <c r="D35" s="112">
        <f>'03-APU-2014'!E224</f>
        <v>257333.33333333334</v>
      </c>
      <c r="E35" s="184">
        <f>'03-APU-2014'!F224</f>
        <v>257333.33333333334</v>
      </c>
      <c r="F35" s="112">
        <f>'03-APU-2014'!G224</f>
        <v>257333.33333333334</v>
      </c>
      <c r="G35" s="561">
        <f>'03-APU-2014'!H224</f>
        <v>273333.33333333331</v>
      </c>
    </row>
    <row r="36" spans="1:7">
      <c r="A36" s="1205" t="s">
        <v>55</v>
      </c>
      <c r="B36" s="1245"/>
      <c r="C36" s="184">
        <f>'03-APU-2014'!D225</f>
        <v>206118.19571865443</v>
      </c>
      <c r="D36" s="112">
        <f>'03-APU-2014'!E225</f>
        <v>206118.19571865443</v>
      </c>
      <c r="E36" s="184">
        <f>'03-APU-2014'!F225</f>
        <v>206118.19571865443</v>
      </c>
      <c r="F36" s="112">
        <f>'03-APU-2014'!G225</f>
        <v>206118.19571865443</v>
      </c>
      <c r="G36" s="561">
        <f>'03-APU-2014'!H225</f>
        <v>206118.19571865443</v>
      </c>
    </row>
    <row r="37" spans="1:7">
      <c r="A37" s="1205" t="s">
        <v>56</v>
      </c>
      <c r="B37" s="1245"/>
      <c r="C37" s="184">
        <f>'03-APU-2014'!D226</f>
        <v>322273.05143896001</v>
      </c>
      <c r="D37" s="112">
        <f>'03-APU-2014'!E226</f>
        <v>322273.05143896001</v>
      </c>
      <c r="E37" s="184">
        <f>'03-APU-2014'!F226</f>
        <v>322273.05143896001</v>
      </c>
      <c r="F37" s="112">
        <f>'03-APU-2014'!G226</f>
        <v>322273.05143896001</v>
      </c>
      <c r="G37" s="561">
        <f>'03-APU-2014'!H226</f>
        <v>322273.05143896001</v>
      </c>
    </row>
    <row r="38" spans="1:7" ht="6" customHeight="1" thickBot="1">
      <c r="A38" s="1277"/>
      <c r="B38" s="1278"/>
      <c r="C38" s="185"/>
      <c r="D38" s="19"/>
      <c r="E38" s="185"/>
      <c r="F38" s="19"/>
      <c r="G38" s="568"/>
    </row>
    <row r="39" spans="1:7" ht="15.75" thickBot="1">
      <c r="A39" s="1279" t="s">
        <v>46</v>
      </c>
      <c r="B39" s="1280"/>
      <c r="C39" s="250">
        <f>SUM(C28:C38)</f>
        <v>2738160.4072632408</v>
      </c>
      <c r="D39" s="577">
        <f>SUM(D28:D38)</f>
        <v>2738160.4072632408</v>
      </c>
      <c r="E39" s="250">
        <f>SUM(E28:E37)</f>
        <v>2738160.4072632408</v>
      </c>
      <c r="F39" s="577">
        <f>SUM(F28:F37)</f>
        <v>2958231.1660256414</v>
      </c>
      <c r="G39" s="243">
        <f>SUM(G28:G37)</f>
        <v>3238227.8969454551</v>
      </c>
    </row>
    <row r="40" spans="1:7">
      <c r="A40" s="1281" t="s">
        <v>57</v>
      </c>
      <c r="B40" s="1282"/>
      <c r="C40" s="182"/>
      <c r="D40" s="17"/>
      <c r="E40" s="182"/>
      <c r="F40" s="17"/>
      <c r="G40" s="566"/>
    </row>
    <row r="41" spans="1:7" ht="15.75" thickBot="1">
      <c r="A41" s="1205" t="s">
        <v>59</v>
      </c>
      <c r="B41" s="1245"/>
      <c r="C41" s="187">
        <f>'03-APU-2014'!D13/1.3</f>
        <v>1004884.8278865096</v>
      </c>
      <c r="D41" s="112">
        <f>C41</f>
        <v>1004884.8278865096</v>
      </c>
      <c r="E41" s="187">
        <f>'03-APU-2014'!E13/1.2</f>
        <v>1088625.2302103855</v>
      </c>
      <c r="F41" s="112">
        <f>E41</f>
        <v>1088625.2302103855</v>
      </c>
      <c r="G41" s="561">
        <f>'03-APU-2014'!F13/1.15</f>
        <v>1135956.7619586631</v>
      </c>
    </row>
    <row r="42" spans="1:7" ht="6" customHeight="1" thickBot="1">
      <c r="A42" s="1283"/>
      <c r="B42" s="1284"/>
      <c r="C42" s="185"/>
      <c r="D42" s="19"/>
      <c r="E42" s="185"/>
      <c r="F42" s="19"/>
      <c r="G42" s="568"/>
    </row>
    <row r="43" spans="1:7" ht="15.75" thickBot="1">
      <c r="A43" s="1279" t="s">
        <v>46</v>
      </c>
      <c r="B43" s="1280"/>
      <c r="C43" s="250">
        <f>C41</f>
        <v>1004884.8278865096</v>
      </c>
      <c r="D43" s="577">
        <f>D41</f>
        <v>1004884.8278865096</v>
      </c>
      <c r="E43" s="250">
        <f>E41</f>
        <v>1088625.2302103855</v>
      </c>
      <c r="F43" s="577">
        <f>F41</f>
        <v>1088625.2302103855</v>
      </c>
      <c r="G43" s="243">
        <f>G41</f>
        <v>1135956.7619586631</v>
      </c>
    </row>
    <row r="44" spans="1:7">
      <c r="A44" s="1242"/>
      <c r="B44" s="1243"/>
      <c r="C44" s="186"/>
      <c r="D44" s="174"/>
      <c r="E44" s="186"/>
      <c r="F44" s="174"/>
      <c r="G44" s="569"/>
    </row>
    <row r="45" spans="1:7">
      <c r="A45" s="1211" t="s">
        <v>60</v>
      </c>
      <c r="B45" s="1244"/>
      <c r="C45" s="183"/>
      <c r="D45" s="18"/>
      <c r="E45" s="183"/>
      <c r="F45" s="18"/>
      <c r="G45" s="567"/>
    </row>
    <row r="46" spans="1:7">
      <c r="A46" s="1205" t="s">
        <v>61</v>
      </c>
      <c r="B46" s="1245"/>
      <c r="C46" s="184">
        <f>'03-APU-2014'!D253*1.3</f>
        <v>803860.96330275235</v>
      </c>
      <c r="D46" s="112">
        <f>C46*1.3</f>
        <v>1045019.2522935781</v>
      </c>
      <c r="E46" s="184">
        <f>'03-APU-2014'!E253</f>
        <v>618354.58715596329</v>
      </c>
      <c r="F46" s="112">
        <f>E46*1.3</f>
        <v>803860.96330275235</v>
      </c>
      <c r="G46" s="561">
        <f>'03-APU-2014'!F253</f>
        <v>1225450.9174311925</v>
      </c>
    </row>
    <row r="47" spans="1:7" ht="14.45" customHeight="1" thickBot="1">
      <c r="A47" s="1283"/>
      <c r="B47" s="1284"/>
      <c r="C47" s="185"/>
      <c r="D47" s="19"/>
      <c r="E47" s="185"/>
      <c r="F47" s="19"/>
      <c r="G47" s="568"/>
    </row>
    <row r="48" spans="1:7" ht="15.75" thickBot="1">
      <c r="A48" s="1240" t="s">
        <v>46</v>
      </c>
      <c r="B48" s="1241"/>
      <c r="C48" s="250">
        <f>SUM(C46:C47)</f>
        <v>803860.96330275235</v>
      </c>
      <c r="D48" s="577">
        <f>SUM(D46:D47)</f>
        <v>1045019.2522935781</v>
      </c>
      <c r="E48" s="250">
        <f>SUM(E46:E47)</f>
        <v>618354.58715596329</v>
      </c>
      <c r="F48" s="577">
        <f>SUM(F46:F47)</f>
        <v>803860.96330275235</v>
      </c>
      <c r="G48" s="243">
        <f>SUM(G46:G47)</f>
        <v>1225450.9174311925</v>
      </c>
    </row>
    <row r="49" spans="1:7">
      <c r="A49" s="1242"/>
      <c r="B49" s="1243"/>
      <c r="C49" s="186"/>
      <c r="D49" s="174"/>
      <c r="E49" s="186"/>
      <c r="F49" s="174"/>
      <c r="G49" s="569"/>
    </row>
    <row r="50" spans="1:7">
      <c r="A50" s="1211" t="s">
        <v>62</v>
      </c>
      <c r="B50" s="1244"/>
      <c r="C50" s="183"/>
      <c r="D50" s="18"/>
      <c r="E50" s="183"/>
      <c r="F50" s="18"/>
      <c r="G50" s="567"/>
    </row>
    <row r="51" spans="1:7">
      <c r="A51" s="1205" t="s">
        <v>70</v>
      </c>
      <c r="B51" s="1245"/>
      <c r="C51" s="188">
        <f>'03-APU-2014'!D196</f>
        <v>3639189.13142796</v>
      </c>
      <c r="D51" s="177">
        <f>C51</f>
        <v>3639189.13142796</v>
      </c>
      <c r="E51" s="188">
        <f>'03-APU-2014'!E195/1.3</f>
        <v>3955384.615384615</v>
      </c>
      <c r="F51" s="177">
        <f>E51</f>
        <v>3955384.615384615</v>
      </c>
      <c r="G51" s="570">
        <f>'03-APU-2014'!F195/1.3</f>
        <v>4242914.384615384</v>
      </c>
    </row>
    <row r="52" spans="1:7">
      <c r="A52" s="1205" t="s">
        <v>71</v>
      </c>
      <c r="B52" s="1245"/>
      <c r="C52" s="188">
        <f>'03-APU-2014'!D366</f>
        <v>362236</v>
      </c>
      <c r="D52" s="177">
        <f>'03-APU-2014'!E365</f>
        <v>481014.93239360739</v>
      </c>
      <c r="E52" s="188">
        <f>'03-APU-2014'!E365</f>
        <v>481014.93239360739</v>
      </c>
      <c r="F52" s="177">
        <f>E52*1.23</f>
        <v>591648.36684413708</v>
      </c>
      <c r="G52" s="570">
        <f>'03-APU-2014'!F365</f>
        <v>528286.0775570774</v>
      </c>
    </row>
    <row r="53" spans="1:7" ht="14.45" customHeight="1">
      <c r="A53" s="1293"/>
      <c r="B53" s="1294"/>
      <c r="C53" s="578"/>
      <c r="D53" s="579"/>
      <c r="E53" s="578"/>
      <c r="F53" s="579"/>
      <c r="G53" s="580"/>
    </row>
    <row r="54" spans="1:7">
      <c r="A54" s="1207" t="s">
        <v>46</v>
      </c>
      <c r="B54" s="1295"/>
      <c r="C54" s="581">
        <f>SUM(C51:C53)</f>
        <v>4001425.13142796</v>
      </c>
      <c r="D54" s="558">
        <f>SUM(D51,D52)</f>
        <v>4120204.0638215672</v>
      </c>
      <c r="E54" s="581">
        <f>SUM(E51,E52)</f>
        <v>4436399.5477782227</v>
      </c>
      <c r="F54" s="558">
        <f>SUM(F51,F52)</f>
        <v>4547032.9822287522</v>
      </c>
      <c r="G54" s="582">
        <f>SUM(G51,G52)</f>
        <v>4771200.4621724617</v>
      </c>
    </row>
    <row r="55" spans="1:7" ht="9.75" customHeight="1">
      <c r="A55" s="1190"/>
      <c r="B55" s="1192"/>
      <c r="C55" s="1264"/>
      <c r="D55" s="1265"/>
      <c r="E55" s="1264"/>
      <c r="F55" s="1265"/>
      <c r="G55" s="567"/>
    </row>
    <row r="56" spans="1:7">
      <c r="A56" s="1296" t="s">
        <v>396</v>
      </c>
      <c r="B56" s="1297"/>
      <c r="C56" s="581">
        <f>SUM(C25,C39,C43,C48,C54)</f>
        <v>11518384.311836703</v>
      </c>
      <c r="D56" s="558">
        <f>SUM(D25,D39,D43,D48,D54)</f>
        <v>11878321.533221137</v>
      </c>
      <c r="E56" s="581">
        <f>SUM(E25,E39,E43,E48,E54)</f>
        <v>11851592.754364051</v>
      </c>
      <c r="F56" s="558">
        <f>SUM(F25,F39,F43,F48,F54)</f>
        <v>12367803.323723771</v>
      </c>
      <c r="G56" s="582">
        <f>SUM(G25,G39,G43,G48,G54)</f>
        <v>13340889.020464012</v>
      </c>
    </row>
    <row r="57" spans="1:7">
      <c r="A57" s="1207" t="s">
        <v>72</v>
      </c>
      <c r="B57" s="1295"/>
      <c r="C57" s="1266">
        <f>AVERAGE(C56:D56)</f>
        <v>11698352.922528919</v>
      </c>
      <c r="D57" s="1267"/>
      <c r="E57" s="1266">
        <f>AVERAGE(E56:F56)</f>
        <v>12109698.039043911</v>
      </c>
      <c r="F57" s="1267"/>
      <c r="G57" s="583">
        <f>AVERAGE(G56)</f>
        <v>13340889.020464012</v>
      </c>
    </row>
    <row r="58" spans="1:7" ht="15.75" thickBot="1">
      <c r="A58" s="1258"/>
      <c r="B58" s="1259"/>
      <c r="C58" s="1268"/>
      <c r="D58" s="1269"/>
      <c r="E58" s="1268"/>
      <c r="F58" s="1269"/>
      <c r="G58" s="571"/>
    </row>
    <row r="59" spans="1:7" ht="15.75" thickBot="1">
      <c r="A59" s="1298" t="s">
        <v>66</v>
      </c>
      <c r="B59" s="1299"/>
      <c r="C59" s="1236">
        <f>'05-ED-2014'!C14</f>
        <v>10185647.034297025</v>
      </c>
      <c r="D59" s="1237"/>
      <c r="E59" s="1236">
        <f>'05-ED-2014'!D14</f>
        <v>17203924.379751571</v>
      </c>
      <c r="F59" s="1237"/>
      <c r="G59" s="572">
        <f>'05-ED-2014'!E14</f>
        <v>17229432.779751569</v>
      </c>
    </row>
    <row r="60" spans="1:7">
      <c r="A60" s="248"/>
      <c r="B60" s="249"/>
      <c r="C60" s="1289"/>
      <c r="D60" s="1290"/>
      <c r="E60" s="1287"/>
      <c r="F60" s="1288"/>
      <c r="G60" s="573"/>
    </row>
    <row r="61" spans="1:7">
      <c r="A61" s="244" t="s">
        <v>365</v>
      </c>
      <c r="B61" s="576">
        <v>0.1</v>
      </c>
      <c r="C61" s="1232">
        <f>SUM(C57,C59)*$B$61</f>
        <v>2188399.9956825944</v>
      </c>
      <c r="D61" s="1233"/>
      <c r="E61" s="1232">
        <f>SUM(E57,E59)*$B$61</f>
        <v>2931362.2418795484</v>
      </c>
      <c r="F61" s="1233"/>
      <c r="G61" s="623">
        <f>SUM(G57,G59)*$B$61</f>
        <v>3057032.180021558</v>
      </c>
    </row>
    <row r="62" spans="1:7">
      <c r="A62" s="244" t="s">
        <v>439</v>
      </c>
      <c r="B62" s="576">
        <v>0.1</v>
      </c>
      <c r="C62" s="1232">
        <f>SUM(C57,C59)*$B$62</f>
        <v>2188399.9956825944</v>
      </c>
      <c r="D62" s="1233"/>
      <c r="E62" s="1232">
        <f>SUM(E57,E59)*$B$62</f>
        <v>2931362.2418795484</v>
      </c>
      <c r="F62" s="1233"/>
      <c r="G62" s="574">
        <f>SUM(G57,G59)*B62</f>
        <v>3057032.180021558</v>
      </c>
    </row>
    <row r="63" spans="1:7">
      <c r="A63" s="245" t="s">
        <v>440</v>
      </c>
      <c r="B63" s="576">
        <v>0.05</v>
      </c>
      <c r="C63" s="1232">
        <f>SUM(C57,C60)*$B$63</f>
        <v>584917.64612644596</v>
      </c>
      <c r="D63" s="1233"/>
      <c r="E63" s="1232">
        <f>SUM(E57,E59)*$B$63</f>
        <v>1465681.1209397742</v>
      </c>
      <c r="F63" s="1233"/>
      <c r="G63" s="574">
        <f>SUM(G57,G59)*$B$63</f>
        <v>1528516.090010779</v>
      </c>
    </row>
    <row r="64" spans="1:7">
      <c r="A64" s="245" t="s">
        <v>445</v>
      </c>
      <c r="B64" s="576">
        <v>0.16</v>
      </c>
      <c r="C64" s="1232">
        <f>C63*B64</f>
        <v>93586.823380231363</v>
      </c>
      <c r="D64" s="1233"/>
      <c r="E64" s="1232">
        <f>E63*B64</f>
        <v>234508.97935036386</v>
      </c>
      <c r="F64" s="1233"/>
      <c r="G64" s="574">
        <f>G63*B64</f>
        <v>244562.57440172465</v>
      </c>
    </row>
    <row r="65" spans="1:7" ht="15.75" thickBot="1">
      <c r="A65" s="246"/>
      <c r="B65" s="247"/>
      <c r="C65" s="1234"/>
      <c r="D65" s="1235"/>
      <c r="E65" s="1234"/>
      <c r="F65" s="1235"/>
      <c r="G65" s="568"/>
    </row>
    <row r="66" spans="1:7" ht="15.75" thickBot="1">
      <c r="A66" s="1298" t="s">
        <v>13</v>
      </c>
      <c r="B66" s="1299"/>
      <c r="C66" s="1236">
        <f>'05-ED-2014'!C21</f>
        <v>3253159.0608565337</v>
      </c>
      <c r="D66" s="1237"/>
      <c r="E66" s="1236">
        <f>'05-ED-2014'!D21</f>
        <v>3836890.8074334702</v>
      </c>
      <c r="F66" s="1237"/>
      <c r="G66" s="572">
        <f>'05-ED-2014'!E21</f>
        <v>5354351.4922799291</v>
      </c>
    </row>
    <row r="67" spans="1:7">
      <c r="A67" s="1242"/>
      <c r="B67" s="1243"/>
      <c r="C67" s="1287"/>
      <c r="D67" s="1288"/>
      <c r="E67" s="1287"/>
      <c r="F67" s="1288"/>
      <c r="G67" s="573"/>
    </row>
    <row r="68" spans="1:7">
      <c r="A68" s="244" t="s">
        <v>365</v>
      </c>
      <c r="B68" s="576">
        <v>0.1</v>
      </c>
      <c r="C68" s="1232">
        <f>SUM(C57,C66)*$B$68</f>
        <v>1495151.1983385454</v>
      </c>
      <c r="D68" s="1233"/>
      <c r="E68" s="1232">
        <f>SUM(E57,E66)*$B$68</f>
        <v>1594658.8846477382</v>
      </c>
      <c r="F68" s="1233"/>
      <c r="G68" s="574">
        <f>SUM(G57,G66)*B68</f>
        <v>1869524.0512743944</v>
      </c>
    </row>
    <row r="69" spans="1:7">
      <c r="A69" s="244" t="s">
        <v>439</v>
      </c>
      <c r="B69" s="576">
        <v>0.1</v>
      </c>
      <c r="C69" s="1232">
        <f>SUM(C57,C66)*$B$69</f>
        <v>1495151.1983385454</v>
      </c>
      <c r="D69" s="1233"/>
      <c r="E69" s="1232">
        <f>SUM(E57,E66)*$B$69</f>
        <v>1594658.8846477382</v>
      </c>
      <c r="F69" s="1233"/>
      <c r="G69" s="574">
        <f>SUM(G57,G66)*B69</f>
        <v>1869524.0512743944</v>
      </c>
    </row>
    <row r="70" spans="1:7">
      <c r="A70" s="245" t="s">
        <v>440</v>
      </c>
      <c r="B70" s="576">
        <v>0.05</v>
      </c>
      <c r="C70" s="1232">
        <f>SUM(C57,C66)*$B$69</f>
        <v>1495151.1983385454</v>
      </c>
      <c r="D70" s="1233"/>
      <c r="E70" s="1232">
        <f>SUM(E57,E66)*$B$70</f>
        <v>797329.44232386909</v>
      </c>
      <c r="F70" s="1233"/>
      <c r="G70" s="574">
        <f>SUM(G57,G66)*$B$70</f>
        <v>934762.02563719719</v>
      </c>
    </row>
    <row r="71" spans="1:7">
      <c r="A71" s="245" t="s">
        <v>445</v>
      </c>
      <c r="B71" s="576">
        <v>0.16</v>
      </c>
      <c r="C71" s="1232">
        <f>C70*B71</f>
        <v>239224.19173416728</v>
      </c>
      <c r="D71" s="1233"/>
      <c r="E71" s="1232">
        <f>E70*B71</f>
        <v>127572.71077181905</v>
      </c>
      <c r="F71" s="1233"/>
      <c r="G71" s="574">
        <f>G70*B71</f>
        <v>149561.92410195156</v>
      </c>
    </row>
    <row r="72" spans="1:7" ht="15.75" thickBot="1">
      <c r="A72" s="1283"/>
      <c r="B72" s="1284"/>
      <c r="C72" s="1234"/>
      <c r="D72" s="1235"/>
      <c r="E72" s="1234"/>
      <c r="F72" s="1235"/>
      <c r="G72" s="568"/>
    </row>
    <row r="73" spans="1:7" ht="9.75" customHeight="1" thickBot="1"/>
    <row r="74" spans="1:7" ht="18.75" customHeight="1" thickBot="1">
      <c r="A74" s="1305" t="s">
        <v>544</v>
      </c>
      <c r="B74" s="1306"/>
      <c r="C74" s="420"/>
      <c r="D74" s="419">
        <f>SUM(C59,C57,C61:D64)</f>
        <v>26939304.417697806</v>
      </c>
      <c r="E74" s="420"/>
      <c r="F74" s="419">
        <f>SUM(E57,E59,E61:F64)</f>
        <v>36876537.002844721</v>
      </c>
      <c r="G74" s="575">
        <f>SUM(G59,G57,G61:G64)</f>
        <v>38457464.824671194</v>
      </c>
    </row>
    <row r="75" spans="1:7" ht="18.75" customHeight="1" thickBot="1">
      <c r="A75" s="1302" t="s">
        <v>545</v>
      </c>
      <c r="B75" s="1303"/>
      <c r="C75" s="420"/>
      <c r="D75" s="419">
        <f>SUM(C57,C66,C68:D71)</f>
        <v>19676189.770135257</v>
      </c>
      <c r="E75" s="420"/>
      <c r="F75" s="419">
        <f>SUM(E57,E66,E68:F71)</f>
        <v>20060808.768868547</v>
      </c>
      <c r="G75" s="575">
        <f>SUM(G57,G66,G68:G71)</f>
        <v>23518612.565031879</v>
      </c>
    </row>
    <row r="77" spans="1:7">
      <c r="A77" s="1304" t="s">
        <v>395</v>
      </c>
      <c r="B77" s="1304"/>
      <c r="C77" s="173"/>
      <c r="D77" s="173"/>
      <c r="E77" s="173"/>
      <c r="F77" s="173"/>
      <c r="G77" s="173"/>
    </row>
    <row r="79" spans="1:7">
      <c r="B79" s="173"/>
      <c r="C79" s="173"/>
      <c r="D79" s="173"/>
      <c r="E79" s="173"/>
      <c r="F79" s="173"/>
      <c r="G79" s="173"/>
    </row>
    <row r="80" spans="1:7">
      <c r="A80" s="294" t="s">
        <v>73</v>
      </c>
      <c r="B80" s="294"/>
    </row>
    <row r="81" spans="1:7">
      <c r="B81" s="172"/>
    </row>
    <row r="82" spans="1:7">
      <c r="A82" s="295" t="s">
        <v>394</v>
      </c>
      <c r="B82" s="295"/>
    </row>
    <row r="84" spans="1:7">
      <c r="A84" s="296" t="s">
        <v>74</v>
      </c>
      <c r="B84" s="296"/>
    </row>
    <row r="86" spans="1:7">
      <c r="A86" s="297" t="s">
        <v>75</v>
      </c>
      <c r="B86" s="297"/>
    </row>
    <row r="87" spans="1:7" ht="22.15" customHeight="1"/>
    <row r="88" spans="1:7" ht="90">
      <c r="A88" s="292" t="s">
        <v>393</v>
      </c>
      <c r="B88" s="292"/>
      <c r="C88" s="292"/>
      <c r="D88" s="292"/>
      <c r="E88" s="292"/>
      <c r="F88" s="292"/>
      <c r="G88" s="292"/>
    </row>
    <row r="89" spans="1:7" ht="49.9" customHeight="1">
      <c r="B89" s="293"/>
      <c r="C89" s="293"/>
      <c r="D89" s="293"/>
      <c r="E89" s="293"/>
      <c r="F89" s="293"/>
      <c r="G89" s="293"/>
    </row>
    <row r="90" spans="1:7">
      <c r="A90" s="293" t="s">
        <v>392</v>
      </c>
      <c r="B90" s="293"/>
      <c r="C90" s="293"/>
      <c r="D90" s="293"/>
      <c r="E90" s="293"/>
      <c r="F90" s="293"/>
      <c r="G90" s="293"/>
    </row>
    <row r="91" spans="1:7">
      <c r="B91" s="293"/>
      <c r="C91" s="293"/>
      <c r="D91" s="293"/>
      <c r="E91" s="293"/>
      <c r="F91" s="293"/>
      <c r="G91" s="293"/>
    </row>
    <row r="92" spans="1:7" ht="120">
      <c r="A92" s="292" t="s">
        <v>391</v>
      </c>
      <c r="B92" s="292"/>
      <c r="C92" s="292"/>
      <c r="D92" s="292"/>
      <c r="E92" s="292"/>
      <c r="F92" s="292"/>
      <c r="G92" s="292"/>
    </row>
  </sheetData>
  <mergeCells count="108">
    <mergeCell ref="E67:F67"/>
    <mergeCell ref="C67:D67"/>
    <mergeCell ref="C69:D69"/>
    <mergeCell ref="E69:F69"/>
    <mergeCell ref="C71:D71"/>
    <mergeCell ref="E71:F71"/>
    <mergeCell ref="A75:B75"/>
    <mergeCell ref="A77:B77"/>
    <mergeCell ref="E68:F68"/>
    <mergeCell ref="E70:F70"/>
    <mergeCell ref="E72:F72"/>
    <mergeCell ref="C72:D72"/>
    <mergeCell ref="C68:D68"/>
    <mergeCell ref="C70:D70"/>
    <mergeCell ref="A72:B72"/>
    <mergeCell ref="A74:B74"/>
    <mergeCell ref="A67:B67"/>
    <mergeCell ref="A4:B4"/>
    <mergeCell ref="A52:B52"/>
    <mergeCell ref="A53:B53"/>
    <mergeCell ref="A54:B54"/>
    <mergeCell ref="A55:B55"/>
    <mergeCell ref="A56:B56"/>
    <mergeCell ref="A57:B57"/>
    <mergeCell ref="A58:B58"/>
    <mergeCell ref="A66:B66"/>
    <mergeCell ref="A19:B19"/>
    <mergeCell ref="A20:B20"/>
    <mergeCell ref="A16:B16"/>
    <mergeCell ref="A31:B31"/>
    <mergeCell ref="A32:B32"/>
    <mergeCell ref="A33:B33"/>
    <mergeCell ref="A11:B11"/>
    <mergeCell ref="A5:B5"/>
    <mergeCell ref="A59:B59"/>
    <mergeCell ref="A12:B12"/>
    <mergeCell ref="A13:B13"/>
    <mergeCell ref="A14:B14"/>
    <mergeCell ref="A15:B15"/>
    <mergeCell ref="E60:F60"/>
    <mergeCell ref="E61:F61"/>
    <mergeCell ref="E63:F63"/>
    <mergeCell ref="C65:D65"/>
    <mergeCell ref="C66:D66"/>
    <mergeCell ref="C62:D62"/>
    <mergeCell ref="C59:D59"/>
    <mergeCell ref="C60:D60"/>
    <mergeCell ref="C61:D61"/>
    <mergeCell ref="C63:D63"/>
    <mergeCell ref="C64:D64"/>
    <mergeCell ref="E62:F62"/>
    <mergeCell ref="C4:G4"/>
    <mergeCell ref="A17:B17"/>
    <mergeCell ref="C7:D7"/>
    <mergeCell ref="E7:F7"/>
    <mergeCell ref="A6:B6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C5:G5"/>
    <mergeCell ref="A29:B29"/>
    <mergeCell ref="A30:B30"/>
    <mergeCell ref="C8:D8"/>
    <mergeCell ref="A18:B18"/>
    <mergeCell ref="C57:D57"/>
    <mergeCell ref="E57:F57"/>
    <mergeCell ref="E59:F59"/>
    <mergeCell ref="E58:F58"/>
    <mergeCell ref="C58:D58"/>
    <mergeCell ref="A49:B49"/>
    <mergeCell ref="A50:B50"/>
    <mergeCell ref="F1:G1"/>
    <mergeCell ref="F2:G2"/>
    <mergeCell ref="F3:G3"/>
    <mergeCell ref="B1:E2"/>
    <mergeCell ref="B3:E3"/>
    <mergeCell ref="E64:F64"/>
    <mergeCell ref="E65:F65"/>
    <mergeCell ref="E66:F66"/>
    <mergeCell ref="A24:B24"/>
    <mergeCell ref="A25:B25"/>
    <mergeCell ref="A26:B26"/>
    <mergeCell ref="A27:B27"/>
    <mergeCell ref="A28:B28"/>
    <mergeCell ref="A21:B21"/>
    <mergeCell ref="A22:B22"/>
    <mergeCell ref="A23:B23"/>
    <mergeCell ref="E8:F8"/>
    <mergeCell ref="A1:A3"/>
    <mergeCell ref="A7:B7"/>
    <mergeCell ref="A8:B8"/>
    <mergeCell ref="A9:B9"/>
    <mergeCell ref="A10:B10"/>
    <mergeCell ref="C55:D55"/>
    <mergeCell ref="E55:F55"/>
  </mergeCells>
  <pageMargins left="0.7" right="0.7" top="0.75" bottom="0.75" header="0.3" footer="0.3"/>
  <pageSetup orientation="portrait" horizontalDpi="4294967292" verticalDpi="0" r:id="rId1"/>
  <ignoredErrors>
    <ignoredError sqref="E13:E14 E46" formula="1"/>
    <ignoredError sqref="C56:F56 C57:F57 G56:G58 F64 D64 C61:G63 C74:G74 C64 E64 G64 C65:G72 C75:G75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O112"/>
  <sheetViews>
    <sheetView zoomScale="75" zoomScaleNormal="75" workbookViewId="0">
      <pane ySplit="8" topLeftCell="A64" activePane="bottomLeft" state="frozen"/>
      <selection pane="bottomLeft" activeCell="B110" sqref="B110"/>
    </sheetView>
  </sheetViews>
  <sheetFormatPr baseColWidth="10" defaultRowHeight="15"/>
  <cols>
    <col min="1" max="1" width="28.85546875" style="57" customWidth="1"/>
    <col min="2" max="2" width="26" style="57" customWidth="1"/>
    <col min="3" max="13" width="18.7109375" style="57" customWidth="1"/>
    <col min="14" max="14" width="18.85546875" style="57" customWidth="1"/>
    <col min="15" max="16384" width="11.42578125" style="57"/>
  </cols>
  <sheetData>
    <row r="1" spans="1:14" ht="21" customHeight="1">
      <c r="A1" s="1363" t="s">
        <v>167</v>
      </c>
      <c r="B1" s="1363"/>
      <c r="C1" s="1180" t="s">
        <v>337</v>
      </c>
      <c r="D1" s="1364"/>
      <c r="E1" s="1364"/>
      <c r="F1" s="1364"/>
      <c r="G1" s="1364"/>
      <c r="H1" s="1364"/>
      <c r="I1" s="1364"/>
      <c r="J1" s="1364"/>
      <c r="K1" s="1364"/>
      <c r="L1" s="1365"/>
      <c r="M1" s="1222" t="s">
        <v>386</v>
      </c>
      <c r="N1" s="1222"/>
    </row>
    <row r="2" spans="1:14" ht="24" customHeight="1">
      <c r="A2" s="1363"/>
      <c r="B2" s="1363"/>
      <c r="C2" s="1366"/>
      <c r="D2" s="1367"/>
      <c r="E2" s="1367"/>
      <c r="F2" s="1367"/>
      <c r="G2" s="1367"/>
      <c r="H2" s="1367"/>
      <c r="I2" s="1367"/>
      <c r="J2" s="1367"/>
      <c r="K2" s="1367"/>
      <c r="L2" s="1368"/>
      <c r="M2" s="1222" t="s">
        <v>564</v>
      </c>
      <c r="N2" s="1222"/>
    </row>
    <row r="3" spans="1:14" ht="24" customHeight="1">
      <c r="A3" s="1363"/>
      <c r="B3" s="1363"/>
      <c r="C3" s="1369" t="s">
        <v>388</v>
      </c>
      <c r="D3" s="1370"/>
      <c r="E3" s="1370"/>
      <c r="F3" s="1370"/>
      <c r="G3" s="1370"/>
      <c r="H3" s="1370"/>
      <c r="I3" s="1370"/>
      <c r="J3" s="1370"/>
      <c r="K3" s="1370"/>
      <c r="L3" s="1371"/>
      <c r="M3" s="1372">
        <v>41959</v>
      </c>
      <c r="N3" s="1372"/>
    </row>
    <row r="4" spans="1:14" ht="15" customHeight="1">
      <c r="A4" s="161"/>
      <c r="B4" s="32"/>
      <c r="C4" s="1311" t="s">
        <v>75</v>
      </c>
      <c r="D4" s="1312"/>
      <c r="E4" s="1312"/>
      <c r="F4" s="1312"/>
      <c r="G4" s="1312"/>
      <c r="H4" s="1312"/>
      <c r="I4" s="1312"/>
      <c r="J4" s="1312"/>
      <c r="K4" s="1312"/>
      <c r="L4" s="1312"/>
      <c r="M4" s="1312"/>
      <c r="N4" s="1312"/>
    </row>
    <row r="5" spans="1:14" ht="15" customHeight="1">
      <c r="A5" s="166" t="s">
        <v>92</v>
      </c>
      <c r="B5" s="52"/>
      <c r="C5" s="1355"/>
      <c r="D5" s="1356"/>
      <c r="E5" s="1356"/>
      <c r="F5" s="1356"/>
      <c r="G5" s="1356"/>
      <c r="H5" s="1356"/>
      <c r="I5" s="1356"/>
      <c r="J5" s="1356"/>
      <c r="K5" s="1356"/>
      <c r="L5" s="1356"/>
      <c r="M5" s="1356"/>
      <c r="N5" s="1356"/>
    </row>
    <row r="6" spans="1:14">
      <c r="A6" s="167" t="s">
        <v>70</v>
      </c>
      <c r="B6" s="53"/>
    </row>
    <row r="7" spans="1:14">
      <c r="A7" s="1357" t="s">
        <v>91</v>
      </c>
      <c r="B7" s="1358"/>
      <c r="C7" s="168" t="s">
        <v>89</v>
      </c>
      <c r="D7" s="168" t="s">
        <v>90</v>
      </c>
      <c r="E7" s="168" t="s">
        <v>89</v>
      </c>
      <c r="F7" s="168" t="s">
        <v>90</v>
      </c>
      <c r="G7" s="168" t="s">
        <v>89</v>
      </c>
      <c r="H7" s="168" t="s">
        <v>90</v>
      </c>
      <c r="I7" s="168" t="s">
        <v>89</v>
      </c>
      <c r="J7" s="168" t="s">
        <v>90</v>
      </c>
      <c r="K7" s="168" t="s">
        <v>89</v>
      </c>
      <c r="L7" s="168" t="s">
        <v>90</v>
      </c>
      <c r="M7" s="168" t="s">
        <v>89</v>
      </c>
      <c r="N7" s="168" t="s">
        <v>90</v>
      </c>
    </row>
    <row r="8" spans="1:14">
      <c r="A8" s="1359" t="s">
        <v>76</v>
      </c>
      <c r="B8" s="1360"/>
      <c r="C8" s="1361" t="s">
        <v>3</v>
      </c>
      <c r="D8" s="1361"/>
      <c r="E8" s="1361" t="s">
        <v>4</v>
      </c>
      <c r="F8" s="1361"/>
      <c r="G8" s="1361" t="s">
        <v>5</v>
      </c>
      <c r="H8" s="1361"/>
      <c r="I8" s="1361" t="s">
        <v>6</v>
      </c>
      <c r="J8" s="1361"/>
      <c r="K8" s="1361" t="s">
        <v>7</v>
      </c>
      <c r="L8" s="1361"/>
      <c r="M8" s="1361" t="s">
        <v>8</v>
      </c>
      <c r="N8" s="1361"/>
    </row>
    <row r="9" spans="1:14">
      <c r="A9" s="1324"/>
      <c r="B9" s="132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165" t="s">
        <v>32</v>
      </c>
      <c r="B10" s="16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1348"/>
      <c r="B11" s="1349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1346" t="s">
        <v>33</v>
      </c>
      <c r="B12" s="134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1007"/>
      <c r="B13" s="115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1346" t="s">
        <v>34</v>
      </c>
      <c r="B14" s="134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1007" t="s">
        <v>35</v>
      </c>
      <c r="B15" s="1152"/>
      <c r="C15" s="64">
        <f>'03-APU-2014'!G114</f>
        <v>302073.86135050002</v>
      </c>
      <c r="D15" s="64">
        <f>C15</f>
        <v>302073.86135050002</v>
      </c>
      <c r="E15" s="64">
        <f>'03-APU-2014'!H114</f>
        <v>302073.86135050002</v>
      </c>
      <c r="F15" s="64">
        <f>E15</f>
        <v>302073.86135050002</v>
      </c>
      <c r="G15" s="64">
        <f>'03-APU-2014'!I114</f>
        <v>302073.86135050002</v>
      </c>
      <c r="H15" s="64">
        <f>G15</f>
        <v>302073.86135050002</v>
      </c>
      <c r="I15" s="64">
        <f>'03-APU-2014'!J114</f>
        <v>302073.86135050002</v>
      </c>
      <c r="J15" s="64">
        <f>I15</f>
        <v>302073.86135050002</v>
      </c>
      <c r="K15" s="64">
        <f>'03-APU-2014'!K114</f>
        <v>302073.86135050002</v>
      </c>
      <c r="L15" s="64">
        <f>K15</f>
        <v>302073.86135050002</v>
      </c>
      <c r="M15" s="64">
        <f>'03-APU-2014'!L114</f>
        <v>302073.86135050002</v>
      </c>
      <c r="N15" s="64">
        <f>M15</f>
        <v>302073.86135050002</v>
      </c>
    </row>
    <row r="16" spans="1:14">
      <c r="A16" s="1007" t="s">
        <v>36</v>
      </c>
      <c r="B16" s="1152"/>
      <c r="C16" s="64">
        <f>'03-APU-2014'!G129</f>
        <v>265686.27339793002</v>
      </c>
      <c r="D16" s="64">
        <f>C16</f>
        <v>265686.27339793002</v>
      </c>
      <c r="E16" s="64">
        <f>'03-APU-2014'!H129</f>
        <v>265686.27339793002</v>
      </c>
      <c r="F16" s="64">
        <f>E16</f>
        <v>265686.27339793002</v>
      </c>
      <c r="G16" s="64">
        <f>'03-APU-2014'!I129</f>
        <v>265686.27339793002</v>
      </c>
      <c r="H16" s="64">
        <f>G16</f>
        <v>265686.27339793002</v>
      </c>
      <c r="I16" s="64">
        <f>'03-APU-2014'!J129</f>
        <v>265686.27339793002</v>
      </c>
      <c r="J16" s="64">
        <f>I16</f>
        <v>265686.27339793002</v>
      </c>
      <c r="K16" s="64">
        <f>'03-APU-2014'!K129</f>
        <v>265686.27339793002</v>
      </c>
      <c r="L16" s="64">
        <f>K16</f>
        <v>265686.27339793002</v>
      </c>
      <c r="M16" s="64">
        <f>'03-APU-2014'!L129</f>
        <v>265686.27339793002</v>
      </c>
      <c r="N16" s="64">
        <f>M16</f>
        <v>265686.27339793002</v>
      </c>
    </row>
    <row r="17" spans="1:14">
      <c r="A17" s="1348"/>
      <c r="B17" s="134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1346" t="s">
        <v>77</v>
      </c>
      <c r="B18" s="134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1007" t="s">
        <v>38</v>
      </c>
      <c r="B19" s="1152"/>
      <c r="C19" s="64">
        <f>'03-APU-2014'!D144</f>
        <v>474603.17987826344</v>
      </c>
      <c r="D19" s="64">
        <f>C19</f>
        <v>474603.17987826344</v>
      </c>
      <c r="E19" s="64">
        <f>'03-APU-2014'!H144</f>
        <v>474603.17987826344</v>
      </c>
      <c r="F19" s="64">
        <f>E19</f>
        <v>474603.17987826344</v>
      </c>
      <c r="G19" s="64">
        <f>'03-APU-2014'!I144</f>
        <v>474603.17987826344</v>
      </c>
      <c r="H19" s="64">
        <f>G19</f>
        <v>474603.17987826344</v>
      </c>
      <c r="I19" s="64">
        <f>'03-APU-2014'!J144</f>
        <v>474603.17987826344</v>
      </c>
      <c r="J19" s="64">
        <f>I19</f>
        <v>474603.17987826344</v>
      </c>
      <c r="K19" s="64">
        <f>'03-APU-2014'!K144</f>
        <v>474603.17987826344</v>
      </c>
      <c r="L19" s="64">
        <f>K19</f>
        <v>474603.17987826344</v>
      </c>
      <c r="M19" s="64">
        <f>'03-APU-2014'!L144</f>
        <v>474603.17987826344</v>
      </c>
      <c r="N19" s="64">
        <f>M19</f>
        <v>474603.17987826344</v>
      </c>
    </row>
    <row r="20" spans="1:14">
      <c r="A20" s="1007" t="s">
        <v>78</v>
      </c>
      <c r="B20" s="1152"/>
      <c r="C20" s="64">
        <f>'03-APU-2014'!G160</f>
        <v>740289.45327619347</v>
      </c>
      <c r="D20" s="64">
        <f>C20</f>
        <v>740289.45327619347</v>
      </c>
      <c r="E20" s="64">
        <f>'03-APU-2014'!H160</f>
        <v>740289.45327619347</v>
      </c>
      <c r="F20" s="64">
        <f>E20</f>
        <v>740289.45327619347</v>
      </c>
      <c r="G20" s="64">
        <f>'03-APU-2014'!I160</f>
        <v>740289.45327619347</v>
      </c>
      <c r="H20" s="64">
        <f>G20</f>
        <v>740289.45327619347</v>
      </c>
      <c r="I20" s="64">
        <f>'03-APU-2014'!J160</f>
        <v>740289.45327619347</v>
      </c>
      <c r="J20" s="64">
        <f>I20</f>
        <v>740289.45327619347</v>
      </c>
      <c r="K20" s="64">
        <f>'03-APU-2014'!K160</f>
        <v>740289.45327619347</v>
      </c>
      <c r="L20" s="64">
        <f>K20</f>
        <v>740289.45327619347</v>
      </c>
      <c r="M20" s="64">
        <f>'03-APU-2014'!L160</f>
        <v>740289.45327619347</v>
      </c>
      <c r="N20" s="64">
        <f>M20</f>
        <v>740289.45327619347</v>
      </c>
    </row>
    <row r="21" spans="1:14">
      <c r="A21" s="1007" t="s">
        <v>40</v>
      </c>
      <c r="B21" s="1152"/>
      <c r="C21" s="64">
        <f>'03-APU-2014'!G176</f>
        <v>596995.36707874015</v>
      </c>
      <c r="D21" s="64">
        <f>C21</f>
        <v>596995.36707874015</v>
      </c>
      <c r="E21" s="64">
        <f>'03-APU-2014'!H176</f>
        <v>596995.36707874015</v>
      </c>
      <c r="F21" s="64">
        <f>E21</f>
        <v>596995.36707874015</v>
      </c>
      <c r="G21" s="64">
        <f>'03-APU-2014'!I176</f>
        <v>596995.36707874015</v>
      </c>
      <c r="H21" s="64">
        <f>G21</f>
        <v>596995.36707874015</v>
      </c>
      <c r="I21" s="64">
        <f>'03-APU-2014'!J176</f>
        <v>596995.36707874015</v>
      </c>
      <c r="J21" s="64">
        <f>I21</f>
        <v>596995.36707874015</v>
      </c>
      <c r="K21" s="64">
        <f>'03-APU-2014'!K176</f>
        <v>596995.36707874015</v>
      </c>
      <c r="L21" s="64">
        <f>K21</f>
        <v>596995.36707874015</v>
      </c>
      <c r="M21" s="64">
        <f>'03-APU-2014'!L176</f>
        <v>596995.36707874015</v>
      </c>
      <c r="N21" s="64">
        <f>M21</f>
        <v>596995.36707874015</v>
      </c>
    </row>
    <row r="22" spans="1:14">
      <c r="A22" s="1007"/>
      <c r="B22" s="115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1346" t="s">
        <v>446</v>
      </c>
      <c r="B23" s="1347"/>
      <c r="C23" s="64">
        <f>'02-HH-2014'!$G$51*9.5*4</f>
        <v>2081619.3878984498</v>
      </c>
      <c r="D23" s="64">
        <f>'02-HH-2014'!$G$51*9.5*4</f>
        <v>2081619.3878984498</v>
      </c>
      <c r="E23" s="64">
        <f>'02-HH-2014'!$G$51*9.5*4</f>
        <v>2081619.3878984498</v>
      </c>
      <c r="F23" s="64">
        <f>'02-HH-2014'!$G$51*9.5*4</f>
        <v>2081619.3878984498</v>
      </c>
      <c r="G23" s="64">
        <f>'02-HH-2014'!$G$51*9.5*4</f>
        <v>2081619.3878984498</v>
      </c>
      <c r="H23" s="64">
        <f>'02-HH-2014'!$G$51*9.5*4</f>
        <v>2081619.3878984498</v>
      </c>
      <c r="I23" s="64">
        <f>'02-HH-2014'!$G$51*9.5*4</f>
        <v>2081619.3878984498</v>
      </c>
      <c r="J23" s="64">
        <f>'02-HH-2014'!$G$51*9.5*4</f>
        <v>2081619.3878984498</v>
      </c>
      <c r="K23" s="64">
        <f>'02-HH-2014'!$G$51*9.5*4</f>
        <v>2081619.3878984498</v>
      </c>
      <c r="L23" s="64">
        <f>'02-HH-2014'!$G$51*9.5*4</f>
        <v>2081619.3878984498</v>
      </c>
      <c r="M23" s="64">
        <f>'02-HH-2014'!$G$51*9.5*4</f>
        <v>2081619.3878984498</v>
      </c>
      <c r="N23" s="64">
        <f>'02-HH-2014'!$G$51*9.5*4</f>
        <v>2081619.3878984498</v>
      </c>
    </row>
    <row r="24" spans="1:14">
      <c r="A24" s="1007"/>
      <c r="B24" s="1152"/>
      <c r="C24" s="6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1346" t="s">
        <v>42</v>
      </c>
      <c r="B25" s="1347"/>
      <c r="C25" s="64">
        <f>'03-APU-2014'!G66</f>
        <v>70000</v>
      </c>
      <c r="D25" s="64">
        <f>C25</f>
        <v>70000</v>
      </c>
      <c r="E25" s="64">
        <f>'03-APU-2014'!H66</f>
        <v>70000</v>
      </c>
      <c r="F25" s="64">
        <f>E25</f>
        <v>70000</v>
      </c>
      <c r="G25" s="64">
        <f>'03-APU-2014'!I66</f>
        <v>70000</v>
      </c>
      <c r="H25" s="64">
        <f>G25</f>
        <v>70000</v>
      </c>
      <c r="I25" s="64">
        <f>'03-APU-2014'!J66</f>
        <v>70000</v>
      </c>
      <c r="J25" s="64">
        <f>I25</f>
        <v>70000</v>
      </c>
      <c r="K25" s="64">
        <f>'03-APU-2014'!K66</f>
        <v>70000</v>
      </c>
      <c r="L25" s="64">
        <f>K25</f>
        <v>70000</v>
      </c>
      <c r="M25" s="64">
        <f>'03-APU-2014'!L66</f>
        <v>70000</v>
      </c>
      <c r="N25" s="64">
        <f>M25</f>
        <v>70000</v>
      </c>
    </row>
    <row r="26" spans="1:14">
      <c r="A26" s="1007"/>
      <c r="B26" s="115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1319"/>
      <c r="B27" s="132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1340" t="s">
        <v>12</v>
      </c>
      <c r="B28" s="1341"/>
      <c r="C28" s="251">
        <f>SUM(C15:C16,C19:C21,C23,C25)</f>
        <v>4531267.5228800774</v>
      </c>
      <c r="D28" s="251">
        <f t="shared" ref="D28:N28" si="0">SUM(D15:D16,D19:D21,D23,D25)</f>
        <v>4531267.5228800774</v>
      </c>
      <c r="E28" s="251">
        <f t="shared" si="0"/>
        <v>4531267.5228800774</v>
      </c>
      <c r="F28" s="251">
        <f t="shared" si="0"/>
        <v>4531267.5228800774</v>
      </c>
      <c r="G28" s="251">
        <f t="shared" si="0"/>
        <v>4531267.5228800774</v>
      </c>
      <c r="H28" s="251">
        <f t="shared" si="0"/>
        <v>4531267.5228800774</v>
      </c>
      <c r="I28" s="251">
        <f t="shared" si="0"/>
        <v>4531267.5228800774</v>
      </c>
      <c r="J28" s="251">
        <f t="shared" si="0"/>
        <v>4531267.5228800774</v>
      </c>
      <c r="K28" s="251">
        <f t="shared" si="0"/>
        <v>4531267.5228800774</v>
      </c>
      <c r="L28" s="251">
        <f t="shared" si="0"/>
        <v>4531267.5228800774</v>
      </c>
      <c r="M28" s="251">
        <f t="shared" si="0"/>
        <v>4531267.5228800774</v>
      </c>
      <c r="N28" s="251">
        <f t="shared" si="0"/>
        <v>4531267.5228800774</v>
      </c>
    </row>
    <row r="29" spans="1:14">
      <c r="A29" s="1324"/>
      <c r="B29" s="132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1353" t="s">
        <v>47</v>
      </c>
      <c r="B30" s="135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1350" t="s">
        <v>79</v>
      </c>
      <c r="B31" s="1351"/>
      <c r="C31" s="64">
        <v>62500</v>
      </c>
      <c r="D31" s="64">
        <v>62500</v>
      </c>
      <c r="E31" s="64">
        <v>62500</v>
      </c>
      <c r="F31" s="64">
        <v>62500</v>
      </c>
      <c r="G31" s="64">
        <v>62500</v>
      </c>
      <c r="H31" s="64">
        <v>62500</v>
      </c>
      <c r="I31" s="64">
        <v>62500</v>
      </c>
      <c r="J31" s="64">
        <v>62500</v>
      </c>
      <c r="K31" s="64">
        <v>62500</v>
      </c>
      <c r="L31" s="64">
        <v>62500</v>
      </c>
      <c r="M31" s="64">
        <v>62500</v>
      </c>
      <c r="N31" s="64">
        <v>62500</v>
      </c>
    </row>
    <row r="32" spans="1:14">
      <c r="A32" s="1350" t="s">
        <v>80</v>
      </c>
      <c r="B32" s="1351"/>
      <c r="C32" s="64">
        <f>'03-APU-2014'!G218</f>
        <v>112096.10866666665</v>
      </c>
      <c r="D32" s="64">
        <f>C32</f>
        <v>112096.10866666665</v>
      </c>
      <c r="E32" s="64">
        <f>'03-APU-2014'!H218</f>
        <v>112096.10866666665</v>
      </c>
      <c r="F32" s="64">
        <f>E32</f>
        <v>112096.10866666665</v>
      </c>
      <c r="G32" s="64">
        <f>'03-APU-2014'!I218</f>
        <v>112096.10866666665</v>
      </c>
      <c r="H32" s="64">
        <f>G32</f>
        <v>112096.10866666665</v>
      </c>
      <c r="I32" s="64">
        <f>'03-APU-2014'!J218</f>
        <v>112096.10866666665</v>
      </c>
      <c r="J32" s="64">
        <f>I32</f>
        <v>112096.10866666665</v>
      </c>
      <c r="K32" s="64">
        <f>'03-APU-2014'!K218</f>
        <v>112096.10866666665</v>
      </c>
      <c r="L32" s="64">
        <f>K32</f>
        <v>112096.10866666665</v>
      </c>
      <c r="M32" s="64">
        <f>'03-APU-2014'!L218</f>
        <v>112096.10866666665</v>
      </c>
      <c r="N32" s="64">
        <f>M32</f>
        <v>112096.10866666665</v>
      </c>
    </row>
    <row r="33" spans="1:14">
      <c r="A33" s="1350" t="s">
        <v>81</v>
      </c>
      <c r="B33" s="1351"/>
      <c r="C33" s="64">
        <f>'03-APU-2014'!G219</f>
        <v>643274</v>
      </c>
      <c r="D33" s="64">
        <f t="shared" ref="D33:D40" si="1">C33</f>
        <v>643274</v>
      </c>
      <c r="E33" s="64">
        <f>'03-APU-2014'!H219</f>
        <v>643274</v>
      </c>
      <c r="F33" s="64">
        <f t="shared" ref="F33:F40" si="2">E33</f>
        <v>643274</v>
      </c>
      <c r="G33" s="64">
        <f>'03-APU-2014'!I219</f>
        <v>964911</v>
      </c>
      <c r="H33" s="64">
        <f t="shared" ref="H33:H40" si="3">G33</f>
        <v>964911</v>
      </c>
      <c r="I33" s="64">
        <f>'03-APU-2014'!J219</f>
        <v>1286548</v>
      </c>
      <c r="J33" s="64">
        <f t="shared" ref="J33:J40" si="4">I33</f>
        <v>1286548</v>
      </c>
      <c r="K33" s="64">
        <f>'03-APU-2014'!K219</f>
        <v>1286548</v>
      </c>
      <c r="L33" s="64">
        <f t="shared" ref="L33:L40" si="5">K33</f>
        <v>1286548</v>
      </c>
      <c r="M33" s="64">
        <f>'03-APU-2014'!L219</f>
        <v>1286548</v>
      </c>
      <c r="N33" s="64">
        <f t="shared" ref="N33:N40" si="6">M33</f>
        <v>1286548</v>
      </c>
    </row>
    <row r="34" spans="1:14">
      <c r="A34" s="1350" t="s">
        <v>50</v>
      </c>
      <c r="B34" s="1351"/>
      <c r="C34" s="64">
        <f>'03-APU-2014'!G220</f>
        <v>408576.75876240002</v>
      </c>
      <c r="D34" s="64">
        <f t="shared" si="1"/>
        <v>408576.75876240002</v>
      </c>
      <c r="E34" s="64">
        <f>'03-APU-2014'!H220</f>
        <v>672573.48968221399</v>
      </c>
      <c r="F34" s="64">
        <f t="shared" si="2"/>
        <v>672573.48968221399</v>
      </c>
      <c r="G34" s="64">
        <f>'03-APU-2014'!I220</f>
        <v>1613652.7453578059</v>
      </c>
      <c r="H34" s="64">
        <f t="shared" si="3"/>
        <v>1613652.7453578059</v>
      </c>
      <c r="I34" s="64">
        <f>'03-APU-2014'!J220</f>
        <v>2680984.9830931202</v>
      </c>
      <c r="J34" s="64">
        <f t="shared" si="4"/>
        <v>2680984.9830931202</v>
      </c>
      <c r="K34" s="64">
        <f>'03-APU-2014'!K220</f>
        <v>2813386.9830931202</v>
      </c>
      <c r="L34" s="64">
        <f t="shared" si="5"/>
        <v>2813386.9830931202</v>
      </c>
      <c r="M34" s="64">
        <f>'03-APU-2014'!L220</f>
        <v>2945788.9830931202</v>
      </c>
      <c r="N34" s="64">
        <f t="shared" si="6"/>
        <v>2945788.9830931202</v>
      </c>
    </row>
    <row r="35" spans="1:14">
      <c r="A35" s="1350" t="s">
        <v>82</v>
      </c>
      <c r="B35" s="1351"/>
      <c r="C35" s="64">
        <f>'03-APU-2014'!G221</f>
        <v>322273.05143896001</v>
      </c>
      <c r="D35" s="64">
        <f t="shared" si="1"/>
        <v>322273.05143896001</v>
      </c>
      <c r="E35" s="64">
        <f>'03-APU-2014'!H221</f>
        <v>322273.05143896001</v>
      </c>
      <c r="F35" s="64">
        <f t="shared" si="2"/>
        <v>322273.05143896001</v>
      </c>
      <c r="G35" s="64">
        <f>'03-APU-2014'!I221</f>
        <v>483409.57715844002</v>
      </c>
      <c r="H35" s="64">
        <f t="shared" si="3"/>
        <v>483409.57715844002</v>
      </c>
      <c r="I35" s="64">
        <f>'03-APU-2014'!J221</f>
        <v>644546.10287792003</v>
      </c>
      <c r="J35" s="64">
        <f t="shared" si="4"/>
        <v>644546.10287792003</v>
      </c>
      <c r="K35" s="64">
        <f>'03-APU-2014'!K221</f>
        <v>644546.10287792003</v>
      </c>
      <c r="L35" s="64">
        <f t="shared" si="5"/>
        <v>644546.10287792003</v>
      </c>
      <c r="M35" s="64">
        <f>'03-APU-2014'!L221</f>
        <v>644546.10287792003</v>
      </c>
      <c r="N35" s="64">
        <f t="shared" si="6"/>
        <v>644546.10287792003</v>
      </c>
    </row>
    <row r="36" spans="1:14">
      <c r="A36" s="1350" t="s">
        <v>52</v>
      </c>
      <c r="B36" s="1351"/>
      <c r="C36" s="64">
        <f>'03-APU-2014'!G222</f>
        <v>597786.66666666663</v>
      </c>
      <c r="D36" s="64">
        <f t="shared" si="1"/>
        <v>597786.66666666663</v>
      </c>
      <c r="E36" s="64">
        <f>'03-APU-2014'!H222</f>
        <v>597786.66666666663</v>
      </c>
      <c r="F36" s="64">
        <f t="shared" si="2"/>
        <v>597786.66666666663</v>
      </c>
      <c r="G36" s="64">
        <f>'03-APU-2014'!I222</f>
        <v>387826.66666666669</v>
      </c>
      <c r="H36" s="64">
        <f t="shared" si="3"/>
        <v>387826.66666666669</v>
      </c>
      <c r="I36" s="64">
        <f>'03-APU-2014'!J222</f>
        <v>407160</v>
      </c>
      <c r="J36" s="64">
        <f t="shared" si="4"/>
        <v>407160</v>
      </c>
      <c r="K36" s="64">
        <f>'03-APU-2014'!K222</f>
        <v>465160</v>
      </c>
      <c r="L36" s="64">
        <f t="shared" si="5"/>
        <v>465160</v>
      </c>
      <c r="M36" s="64">
        <f>'03-APU-2014'!L222</f>
        <v>523160</v>
      </c>
      <c r="N36" s="64">
        <f t="shared" si="6"/>
        <v>523160</v>
      </c>
    </row>
    <row r="37" spans="1:14">
      <c r="A37" s="1350" t="s">
        <v>53</v>
      </c>
      <c r="B37" s="1351"/>
      <c r="C37" s="64">
        <f>'03-APU-2014'!G223</f>
        <v>76000</v>
      </c>
      <c r="D37" s="64">
        <f t="shared" si="1"/>
        <v>76000</v>
      </c>
      <c r="E37" s="64">
        <f>'03-APU-2014'!H223</f>
        <v>76000</v>
      </c>
      <c r="F37" s="64">
        <f t="shared" si="2"/>
        <v>76000</v>
      </c>
      <c r="G37" s="64">
        <f>'03-APU-2014'!I223</f>
        <v>114000</v>
      </c>
      <c r="H37" s="64">
        <f t="shared" si="3"/>
        <v>114000</v>
      </c>
      <c r="I37" s="64">
        <f>'03-APU-2014'!J223</f>
        <v>152000</v>
      </c>
      <c r="J37" s="64">
        <f t="shared" si="4"/>
        <v>152000</v>
      </c>
      <c r="K37" s="64">
        <f>'03-APU-2014'!K223</f>
        <v>152000</v>
      </c>
      <c r="L37" s="64">
        <f t="shared" si="5"/>
        <v>152000</v>
      </c>
      <c r="M37" s="64">
        <f>'03-APU-2014'!L223</f>
        <v>152000</v>
      </c>
      <c r="N37" s="64">
        <f t="shared" si="6"/>
        <v>152000</v>
      </c>
    </row>
    <row r="38" spans="1:14">
      <c r="A38" s="1350" t="s">
        <v>54</v>
      </c>
      <c r="B38" s="1351"/>
      <c r="C38" s="64">
        <f>'03-APU-2014'!G224</f>
        <v>257333.33333333334</v>
      </c>
      <c r="D38" s="64">
        <f t="shared" si="1"/>
        <v>257333.33333333334</v>
      </c>
      <c r="E38" s="64">
        <f>'03-APU-2014'!H224</f>
        <v>273333.33333333331</v>
      </c>
      <c r="F38" s="64">
        <f t="shared" si="2"/>
        <v>273333.33333333331</v>
      </c>
      <c r="G38" s="64">
        <f>'03-APU-2014'!I224</f>
        <v>136666.66666666666</v>
      </c>
      <c r="H38" s="64">
        <f t="shared" si="3"/>
        <v>136666.66666666666</v>
      </c>
      <c r="I38" s="64">
        <f>'03-APU-2014'!J224</f>
        <v>136666.66666666666</v>
      </c>
      <c r="J38" s="64">
        <f t="shared" si="4"/>
        <v>136666.66666666666</v>
      </c>
      <c r="K38" s="64">
        <f>'03-APU-2014'!K224</f>
        <v>136666.66666666666</v>
      </c>
      <c r="L38" s="64">
        <f t="shared" si="5"/>
        <v>136666.66666666666</v>
      </c>
      <c r="M38" s="64">
        <f>'03-APU-2014'!L224</f>
        <v>136666.66666666666</v>
      </c>
      <c r="N38" s="64">
        <f t="shared" si="6"/>
        <v>136666.66666666666</v>
      </c>
    </row>
    <row r="39" spans="1:14">
      <c r="A39" s="1350" t="s">
        <v>83</v>
      </c>
      <c r="B39" s="1351"/>
      <c r="C39" s="64">
        <f>'03-APU-2014'!G225</f>
        <v>206118.19571865443</v>
      </c>
      <c r="D39" s="64">
        <f t="shared" si="1"/>
        <v>206118.19571865443</v>
      </c>
      <c r="E39" s="64">
        <f>'03-APU-2014'!H225</f>
        <v>206118.19571865443</v>
      </c>
      <c r="F39" s="64">
        <f t="shared" si="2"/>
        <v>206118.19571865443</v>
      </c>
      <c r="G39" s="64">
        <f>'03-APU-2014'!I225</f>
        <v>206118.19571865443</v>
      </c>
      <c r="H39" s="64">
        <f t="shared" si="3"/>
        <v>206118.19571865443</v>
      </c>
      <c r="I39" s="64">
        <f>'03-APU-2014'!J225</f>
        <v>206118.19571865443</v>
      </c>
      <c r="J39" s="64">
        <f t="shared" si="4"/>
        <v>206118.19571865443</v>
      </c>
      <c r="K39" s="64">
        <f>'03-APU-2014'!K225</f>
        <v>206118.19571865443</v>
      </c>
      <c r="L39" s="64">
        <f t="shared" si="5"/>
        <v>206118.19571865443</v>
      </c>
      <c r="M39" s="64">
        <f>'03-APU-2014'!L225</f>
        <v>206118.19571865443</v>
      </c>
      <c r="N39" s="64">
        <f t="shared" si="6"/>
        <v>206118.19571865443</v>
      </c>
    </row>
    <row r="40" spans="1:14" ht="29.25" customHeight="1">
      <c r="A40" s="1352" t="s">
        <v>84</v>
      </c>
      <c r="B40" s="967"/>
      <c r="C40" s="64">
        <f>'03-APU-2014'!G226</f>
        <v>322273.05143896001</v>
      </c>
      <c r="D40" s="64">
        <f t="shared" si="1"/>
        <v>322273.05143896001</v>
      </c>
      <c r="E40" s="64">
        <f>'03-APU-2014'!H226</f>
        <v>322273.05143896001</v>
      </c>
      <c r="F40" s="64">
        <f t="shared" si="2"/>
        <v>322273.05143896001</v>
      </c>
      <c r="G40" s="64">
        <f>'03-APU-2014'!I226</f>
        <v>483409.57715844002</v>
      </c>
      <c r="H40" s="64">
        <f t="shared" si="3"/>
        <v>483409.57715844002</v>
      </c>
      <c r="I40" s="64">
        <f>'03-APU-2014'!J226</f>
        <v>644546.10287792003</v>
      </c>
      <c r="J40" s="64">
        <f t="shared" si="4"/>
        <v>644546.10287792003</v>
      </c>
      <c r="K40" s="64">
        <f>'03-APU-2014'!K226</f>
        <v>644546.10287792003</v>
      </c>
      <c r="L40" s="64">
        <f t="shared" si="5"/>
        <v>644546.10287792003</v>
      </c>
      <c r="M40" s="64">
        <f>'03-APU-2014'!L226</f>
        <v>644546.10287792003</v>
      </c>
      <c r="N40" s="64">
        <f t="shared" si="6"/>
        <v>644546.10287792003</v>
      </c>
    </row>
    <row r="41" spans="1:14">
      <c r="A41" s="1319"/>
      <c r="B41" s="132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1340" t="s">
        <v>46</v>
      </c>
      <c r="B42" s="1341"/>
      <c r="C42" s="163">
        <f>SUM(C30,C31,C32,C33,C34,C35,C36,C37,C38,C39,C40)</f>
        <v>3008231.1660256414</v>
      </c>
      <c r="D42" s="163">
        <f>SUM(D30,D31,D32,D33,D34,D35,D36,D37,D38,D39,D40)</f>
        <v>3008231.1660256414</v>
      </c>
      <c r="E42" s="163">
        <f>SUM(E30,E31,E32,E33,E34,E35,E36,E37,E38,E39,E40)</f>
        <v>3288227.8969454551</v>
      </c>
      <c r="F42" s="163">
        <f>SUM(F30,F31,F32,F33,F34,F35,F36,F37,F38,F39,F40)</f>
        <v>3288227.8969454551</v>
      </c>
      <c r="G42" s="163">
        <f>SUM(G31:G40)</f>
        <v>4564590.5373933399</v>
      </c>
      <c r="H42" s="163">
        <f t="shared" ref="H42:N42" si="7">SUM(H30,H31,H32,H33,H34,H35,H36,H37,H38,H39,H40)</f>
        <v>4564590.5373933399</v>
      </c>
      <c r="I42" s="163">
        <f t="shared" si="7"/>
        <v>6333166.1599009484</v>
      </c>
      <c r="J42" s="163">
        <f t="shared" si="7"/>
        <v>6333166.1599009484</v>
      </c>
      <c r="K42" s="163">
        <f t="shared" si="7"/>
        <v>6523568.1599009484</v>
      </c>
      <c r="L42" s="164">
        <f t="shared" si="7"/>
        <v>6523568.1599009484</v>
      </c>
      <c r="M42" s="164">
        <f t="shared" si="7"/>
        <v>6713970.1599009484</v>
      </c>
      <c r="N42" s="164">
        <f t="shared" si="7"/>
        <v>6713970.1599009484</v>
      </c>
    </row>
    <row r="43" spans="1:14">
      <c r="A43" s="1348"/>
      <c r="B43" s="1349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</row>
    <row r="44" spans="1:14">
      <c r="A44" s="1346" t="s">
        <v>57</v>
      </c>
      <c r="B44" s="1347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</row>
    <row r="45" spans="1:14">
      <c r="A45" s="1007" t="s">
        <v>85</v>
      </c>
      <c r="B45" s="1152"/>
      <c r="C45" s="64">
        <f>'03-APU-2014'!G13*1.15</f>
        <v>1502302.8176903317</v>
      </c>
      <c r="D45" s="64">
        <f>C45*1.05</f>
        <v>1577417.9585748485</v>
      </c>
      <c r="E45" s="64">
        <f>'03-APU-2014'!E13*1.2</f>
        <v>1567620.3315029549</v>
      </c>
      <c r="F45" s="64">
        <f>E45*1.02</f>
        <v>1598972.7381330142</v>
      </c>
      <c r="G45" s="64">
        <f>'03-APU-2014'!I13</f>
        <v>1959525.414378694</v>
      </c>
      <c r="H45" s="64">
        <f>G45</f>
        <v>1959525.414378694</v>
      </c>
      <c r="I45" s="64">
        <f>'03-APU-2014'!J13</f>
        <v>2536271.3875049255</v>
      </c>
      <c r="J45" s="64">
        <f>I45</f>
        <v>2536271.3875049255</v>
      </c>
      <c r="K45" s="64">
        <f>'03-APU-2014'!K13</f>
        <v>2536271.3875049255</v>
      </c>
      <c r="L45" s="64">
        <f>K45</f>
        <v>2536271.3875049255</v>
      </c>
      <c r="M45" s="64">
        <f>'03-APU-2014'!L13</f>
        <v>2536271.3875049255</v>
      </c>
      <c r="N45" s="64">
        <f>M45</f>
        <v>2536271.3875049255</v>
      </c>
    </row>
    <row r="46" spans="1:14">
      <c r="A46" s="1348"/>
      <c r="B46" s="1349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</row>
    <row r="47" spans="1:14">
      <c r="A47" s="1340" t="s">
        <v>12</v>
      </c>
      <c r="B47" s="1341"/>
      <c r="C47" s="164">
        <f>C45</f>
        <v>1502302.8176903317</v>
      </c>
      <c r="D47" s="164">
        <f t="shared" ref="D47:N47" si="8">D45</f>
        <v>1577417.9585748485</v>
      </c>
      <c r="E47" s="164">
        <f t="shared" si="8"/>
        <v>1567620.3315029549</v>
      </c>
      <c r="F47" s="164">
        <f t="shared" si="8"/>
        <v>1598972.7381330142</v>
      </c>
      <c r="G47" s="164">
        <f t="shared" si="8"/>
        <v>1959525.414378694</v>
      </c>
      <c r="H47" s="164">
        <f t="shared" si="8"/>
        <v>1959525.414378694</v>
      </c>
      <c r="I47" s="164">
        <f t="shared" si="8"/>
        <v>2536271.3875049255</v>
      </c>
      <c r="J47" s="164">
        <f t="shared" si="8"/>
        <v>2536271.3875049255</v>
      </c>
      <c r="K47" s="164">
        <f t="shared" si="8"/>
        <v>2536271.3875049255</v>
      </c>
      <c r="L47" s="164">
        <f t="shared" si="8"/>
        <v>2536271.3875049255</v>
      </c>
      <c r="M47" s="164">
        <f t="shared" si="8"/>
        <v>2536271.3875049255</v>
      </c>
      <c r="N47" s="164">
        <f t="shared" si="8"/>
        <v>2536271.3875049255</v>
      </c>
    </row>
    <row r="48" spans="1:14">
      <c r="A48" s="1348"/>
      <c r="B48" s="1349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</row>
    <row r="49" spans="1:14">
      <c r="A49" s="1346" t="s">
        <v>60</v>
      </c>
      <c r="B49" s="1347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0" spans="1:14">
      <c r="A50" s="1007" t="s">
        <v>61</v>
      </c>
      <c r="B50" s="1152"/>
      <c r="C50" s="64">
        <f>E50</f>
        <v>198261.75775074653</v>
      </c>
      <c r="D50" s="64">
        <f>C50</f>
        <v>198261.75775074653</v>
      </c>
      <c r="E50" s="64">
        <f>'03-APU-2014'!H210</f>
        <v>198261.75775074653</v>
      </c>
      <c r="F50" s="64">
        <f>E50</f>
        <v>198261.75775074653</v>
      </c>
      <c r="G50" s="64">
        <f>'03-APU-2014'!I210</f>
        <v>198261.75775074653</v>
      </c>
      <c r="H50" s="64">
        <f>G50</f>
        <v>198261.75775074653</v>
      </c>
      <c r="I50" s="64">
        <f>'03-APU-2014'!J210</f>
        <v>198261.75775074653</v>
      </c>
      <c r="J50" s="64">
        <f>I50</f>
        <v>198261.75775074653</v>
      </c>
      <c r="K50" s="64">
        <f>'03-APU-2014'!K210</f>
        <v>198261.75775074653</v>
      </c>
      <c r="L50" s="64">
        <f>K50</f>
        <v>198261.75775074653</v>
      </c>
      <c r="M50" s="64">
        <f>'03-APU-2014'!L210</f>
        <v>198261.75775074653</v>
      </c>
      <c r="N50" s="64">
        <f>M50</f>
        <v>198261.75775074653</v>
      </c>
    </row>
    <row r="51" spans="1:14">
      <c r="A51" s="1348"/>
      <c r="B51" s="1349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</row>
    <row r="52" spans="1:14">
      <c r="A52" s="1340" t="s">
        <v>46</v>
      </c>
      <c r="B52" s="1341"/>
      <c r="C52" s="163">
        <f>C50</f>
        <v>198261.75775074653</v>
      </c>
      <c r="D52" s="163">
        <f t="shared" ref="D52:N52" si="9">D50</f>
        <v>198261.75775074653</v>
      </c>
      <c r="E52" s="163">
        <f t="shared" si="9"/>
        <v>198261.75775074653</v>
      </c>
      <c r="F52" s="163">
        <f t="shared" si="9"/>
        <v>198261.75775074653</v>
      </c>
      <c r="G52" s="163">
        <f t="shared" si="9"/>
        <v>198261.75775074653</v>
      </c>
      <c r="H52" s="163">
        <f t="shared" si="9"/>
        <v>198261.75775074653</v>
      </c>
      <c r="I52" s="163">
        <f t="shared" si="9"/>
        <v>198261.75775074653</v>
      </c>
      <c r="J52" s="163">
        <f t="shared" si="9"/>
        <v>198261.75775074653</v>
      </c>
      <c r="K52" s="163">
        <f t="shared" si="9"/>
        <v>198261.75775074653</v>
      </c>
      <c r="L52" s="163">
        <f t="shared" si="9"/>
        <v>198261.75775074653</v>
      </c>
      <c r="M52" s="163">
        <f t="shared" si="9"/>
        <v>198261.75775074653</v>
      </c>
      <c r="N52" s="163">
        <f t="shared" si="9"/>
        <v>198261.75775074653</v>
      </c>
    </row>
    <row r="53" spans="1:14">
      <c r="A53" s="1319"/>
      <c r="B53" s="1320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1346" t="s">
        <v>62</v>
      </c>
      <c r="B54" s="1347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</row>
    <row r="55" spans="1:14">
      <c r="A55" s="1007" t="s">
        <v>70</v>
      </c>
      <c r="B55" s="1152"/>
      <c r="C55" s="64">
        <f>'03-APU-2014'!G195*B112</f>
        <v>8443663.1999999993</v>
      </c>
      <c r="D55" s="64">
        <f>C55</f>
        <v>8443663.1999999993</v>
      </c>
      <c r="E55" s="64">
        <f>'03-APU-2014'!H195</f>
        <v>9381000</v>
      </c>
      <c r="F55" s="64">
        <f>E55</f>
        <v>9381000</v>
      </c>
      <c r="G55" s="64">
        <f>'03-APU-2014'!I195</f>
        <v>13590000</v>
      </c>
      <c r="H55" s="64">
        <f>G55</f>
        <v>13590000</v>
      </c>
      <c r="I55" s="64">
        <f>'03-APU-2014'!J195</f>
        <v>17386000</v>
      </c>
      <c r="J55" s="64">
        <f>I55</f>
        <v>17386000</v>
      </c>
      <c r="K55" s="64">
        <f>'03-APU-2014'!K195</f>
        <v>21759860</v>
      </c>
      <c r="L55" s="64">
        <f>K55</f>
        <v>21759860</v>
      </c>
      <c r="M55" s="64">
        <f>'03-APU-2014'!L195</f>
        <v>26040000</v>
      </c>
      <c r="N55" s="64">
        <f>M55</f>
        <v>26040000</v>
      </c>
    </row>
    <row r="56" spans="1:14">
      <c r="A56" s="1007" t="s">
        <v>71</v>
      </c>
      <c r="B56" s="1152"/>
      <c r="C56" s="64">
        <f>'03-APU-2014'!G356</f>
        <v>2755051.2982996223</v>
      </c>
      <c r="D56" s="64">
        <f>C56</f>
        <v>2755051.2982996223</v>
      </c>
      <c r="E56" s="64">
        <f>'03-APU-2014'!G356</f>
        <v>2755051.2982996223</v>
      </c>
      <c r="F56" s="64">
        <f>E56</f>
        <v>2755051.2982996223</v>
      </c>
      <c r="G56" s="64">
        <f>F56</f>
        <v>2755051.2982996223</v>
      </c>
      <c r="H56" s="64">
        <f>G56</f>
        <v>2755051.2982996223</v>
      </c>
      <c r="I56" s="64">
        <f>H56</f>
        <v>2755051.2982996223</v>
      </c>
      <c r="J56" s="64">
        <f>I56</f>
        <v>2755051.2982996223</v>
      </c>
      <c r="K56" s="64">
        <f>J56</f>
        <v>2755051.2982996223</v>
      </c>
      <c r="L56" s="64">
        <f>K56</f>
        <v>2755051.2982996223</v>
      </c>
      <c r="M56" s="64">
        <f>'03-APU-2014'!Q356</f>
        <v>0</v>
      </c>
      <c r="N56" s="64">
        <f>'03-APU-2014'!R356</f>
        <v>0</v>
      </c>
    </row>
    <row r="57" spans="1:14">
      <c r="A57" s="1319"/>
      <c r="B57" s="1320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1340" t="s">
        <v>12</v>
      </c>
      <c r="B58" s="1341"/>
      <c r="C58" s="163">
        <f>SUM(C55,C56)</f>
        <v>11198714.498299621</v>
      </c>
      <c r="D58" s="163">
        <f t="shared" ref="D58:N58" si="10">SUM(D55,D56)</f>
        <v>11198714.498299621</v>
      </c>
      <c r="E58" s="163">
        <f t="shared" si="10"/>
        <v>12136051.298299622</v>
      </c>
      <c r="F58" s="163">
        <f t="shared" si="10"/>
        <v>12136051.298299622</v>
      </c>
      <c r="G58" s="163">
        <f t="shared" si="10"/>
        <v>16345051.298299622</v>
      </c>
      <c r="H58" s="163">
        <f t="shared" si="10"/>
        <v>16345051.298299622</v>
      </c>
      <c r="I58" s="163">
        <f t="shared" si="10"/>
        <v>20141051.298299622</v>
      </c>
      <c r="J58" s="163">
        <f t="shared" si="10"/>
        <v>20141051.298299622</v>
      </c>
      <c r="K58" s="163">
        <f t="shared" si="10"/>
        <v>24514911.298299622</v>
      </c>
      <c r="L58" s="163">
        <f t="shared" si="10"/>
        <v>24514911.298299622</v>
      </c>
      <c r="M58" s="163">
        <f t="shared" si="10"/>
        <v>26040000</v>
      </c>
      <c r="N58" s="163">
        <f t="shared" si="10"/>
        <v>26040000</v>
      </c>
    </row>
    <row r="59" spans="1:14" ht="15.75" thickBot="1">
      <c r="A59" s="1342"/>
      <c r="B59" s="1343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ht="16.5" thickTop="1" thickBot="1">
      <c r="A60" s="1344" t="s">
        <v>86</v>
      </c>
      <c r="B60" s="1345"/>
      <c r="C60" s="256">
        <f>SUM(C28,C42,C47,C52,C58)</f>
        <v>20438777.762646418</v>
      </c>
      <c r="D60" s="256">
        <f>SUM(D28,D42,D47,D52,D58)</f>
        <v>20513892.903530933</v>
      </c>
      <c r="E60" s="256">
        <f>SUM(E28,E42,E47,E52,E58)</f>
        <v>21721428.807378855</v>
      </c>
      <c r="F60" s="256">
        <f>SUM(F28,F42,F47,F52,F58)</f>
        <v>21752781.214008912</v>
      </c>
      <c r="G60" s="256">
        <f t="shared" ref="G60:N60" si="11">SUM(G28,G42,G47,G52,G58)</f>
        <v>27598696.530702479</v>
      </c>
      <c r="H60" s="256">
        <f t="shared" si="11"/>
        <v>27598696.530702479</v>
      </c>
      <c r="I60" s="256">
        <f t="shared" si="11"/>
        <v>33740018.126336321</v>
      </c>
      <c r="J60" s="256">
        <f t="shared" si="11"/>
        <v>33740018.126336321</v>
      </c>
      <c r="K60" s="256">
        <f t="shared" si="11"/>
        <v>38304280.126336321</v>
      </c>
      <c r="L60" s="256">
        <f t="shared" si="11"/>
        <v>38304280.126336321</v>
      </c>
      <c r="M60" s="256">
        <f t="shared" si="11"/>
        <v>40019770.828036696</v>
      </c>
      <c r="N60" s="256">
        <f t="shared" si="11"/>
        <v>40019770.828036696</v>
      </c>
    </row>
    <row r="61" spans="1:14" ht="15.75" thickTop="1">
      <c r="A61" s="1338" t="s">
        <v>72</v>
      </c>
      <c r="B61" s="1339"/>
      <c r="C61" s="1336">
        <f>(C60+D60)/2</f>
        <v>20476335.333088674</v>
      </c>
      <c r="D61" s="1337"/>
      <c r="E61" s="1336">
        <f>(E60+F60)/2</f>
        <v>21737105.010693885</v>
      </c>
      <c r="F61" s="1337"/>
      <c r="G61" s="1336">
        <f>(G60+H60)/2</f>
        <v>27598696.530702479</v>
      </c>
      <c r="H61" s="1337"/>
      <c r="I61" s="1336">
        <f>(I60+J60)/2</f>
        <v>33740018.126336321</v>
      </c>
      <c r="J61" s="1337"/>
      <c r="K61" s="1336">
        <f>(K60+L60)/2</f>
        <v>38304280.126336321</v>
      </c>
      <c r="L61" s="1337"/>
      <c r="M61" s="1336">
        <f>(M60+N60)/2</f>
        <v>40019770.828036696</v>
      </c>
      <c r="N61" s="1337"/>
    </row>
    <row r="62" spans="1:14">
      <c r="A62" s="1324"/>
      <c r="B62" s="1325"/>
      <c r="C62" s="1324"/>
      <c r="D62" s="1325"/>
      <c r="E62" s="1324"/>
      <c r="F62" s="1325"/>
      <c r="G62" s="1324"/>
      <c r="H62" s="1325"/>
      <c r="I62" s="1324"/>
      <c r="J62" s="1325"/>
      <c r="K62" s="1324"/>
      <c r="L62" s="1325"/>
      <c r="M62" s="1324"/>
      <c r="N62" s="1325"/>
    </row>
    <row r="63" spans="1:14">
      <c r="A63" s="1334" t="s">
        <v>66</v>
      </c>
      <c r="B63" s="1335"/>
      <c r="C63" s="1332">
        <f>'05-ED-2014'!F14*B102</f>
        <v>32663227.479219794</v>
      </c>
      <c r="D63" s="1333"/>
      <c r="E63" s="1332">
        <f>'05-ED-2014'!G14*B103</f>
        <v>34529697.6208895</v>
      </c>
      <c r="F63" s="1333"/>
      <c r="G63" s="1332">
        <f>'05-ED-2014'!H14*B104</f>
        <v>35277621.011814639</v>
      </c>
      <c r="H63" s="1333"/>
      <c r="I63" s="1332">
        <f>'05-ED-2014'!I14*B107</f>
        <v>36837202.01815968</v>
      </c>
      <c r="J63" s="1333"/>
      <c r="K63" s="1332">
        <f>'05-ED-2014'!J14*B106</f>
        <v>37814612.326317623</v>
      </c>
      <c r="L63" s="1333"/>
      <c r="M63" s="1332">
        <f>'05-ED-2014'!K14*B105</f>
        <v>42578413.867107324</v>
      </c>
      <c r="N63" s="1333"/>
    </row>
    <row r="64" spans="1:14">
      <c r="A64" s="1321"/>
      <c r="B64" s="900"/>
      <c r="C64" s="1324"/>
      <c r="D64" s="1325"/>
      <c r="E64" s="1324"/>
      <c r="F64" s="1325"/>
      <c r="G64" s="1324"/>
      <c r="H64" s="1325"/>
      <c r="I64" s="1324"/>
      <c r="J64" s="1325"/>
      <c r="K64" s="1324"/>
      <c r="L64" s="1325"/>
      <c r="M64" s="1324"/>
      <c r="N64" s="1325"/>
    </row>
    <row r="65" spans="1:14">
      <c r="A65" s="180"/>
      <c r="B65" s="254"/>
      <c r="C65" s="252"/>
      <c r="D65" s="253"/>
      <c r="E65" s="252"/>
      <c r="F65" s="253"/>
      <c r="G65" s="252"/>
      <c r="H65" s="253"/>
      <c r="I65" s="252"/>
      <c r="J65" s="253"/>
      <c r="K65" s="252"/>
      <c r="L65" s="253"/>
      <c r="M65" s="252"/>
      <c r="N65" s="253"/>
    </row>
    <row r="66" spans="1:14">
      <c r="A66" s="229" t="s">
        <v>365</v>
      </c>
      <c r="B66" s="255">
        <v>0.1</v>
      </c>
      <c r="C66" s="1330">
        <f>SUM(C63,C61)*B66</f>
        <v>5313956.2812308474</v>
      </c>
      <c r="D66" s="1331"/>
      <c r="E66" s="1330">
        <f>SUM(E63,E61)*$B$66</f>
        <v>5626680.2631583391</v>
      </c>
      <c r="F66" s="1331"/>
      <c r="G66" s="1330">
        <f>SUM(G63,G61)*$B$66</f>
        <v>6287631.754251712</v>
      </c>
      <c r="H66" s="1331"/>
      <c r="I66" s="1330">
        <f>SUM(I63,I61)*$B$66</f>
        <v>7057722.0144496001</v>
      </c>
      <c r="J66" s="1331"/>
      <c r="K66" s="1330">
        <f>SUM(K63,K61)*$B$66</f>
        <v>7611889.2452653944</v>
      </c>
      <c r="L66" s="1331"/>
      <c r="M66" s="1330">
        <f>SUM(M63,M61)*$B$66</f>
        <v>8259818.4695144035</v>
      </c>
      <c r="N66" s="1331"/>
    </row>
    <row r="67" spans="1:14">
      <c r="A67" s="229" t="s">
        <v>439</v>
      </c>
      <c r="B67" s="255">
        <v>0.1</v>
      </c>
      <c r="C67" s="1330">
        <f>SUM(C63,C61)*B67</f>
        <v>5313956.2812308474</v>
      </c>
      <c r="D67" s="1331"/>
      <c r="E67" s="1330">
        <f>SUM(E63,E62)*$B$67</f>
        <v>3452969.7620889503</v>
      </c>
      <c r="F67" s="1331"/>
      <c r="G67" s="1330">
        <f>SUM(G63,G62)*$B$67</f>
        <v>3527762.1011814643</v>
      </c>
      <c r="H67" s="1331"/>
      <c r="I67" s="1330">
        <f>SUM(I63,I62)*$B$67</f>
        <v>3683720.2018159684</v>
      </c>
      <c r="J67" s="1331"/>
      <c r="K67" s="1330">
        <f>SUM(K63,K62)*$B$67</f>
        <v>3781461.2326317625</v>
      </c>
      <c r="L67" s="1331"/>
      <c r="M67" s="1330">
        <f>SUM(M63,M61)*$B$67</f>
        <v>8259818.4695144035</v>
      </c>
      <c r="N67" s="1331"/>
    </row>
    <row r="68" spans="1:14">
      <c r="A68" s="229" t="s">
        <v>440</v>
      </c>
      <c r="B68" s="255">
        <v>0.05</v>
      </c>
      <c r="C68" s="1330">
        <f>SUM(C63,C61)*B68</f>
        <v>2656978.1406154237</v>
      </c>
      <c r="D68" s="1331"/>
      <c r="E68" s="1330">
        <f>SUM(E63,E61)*$B$68</f>
        <v>2813340.1315791695</v>
      </c>
      <c r="F68" s="1331"/>
      <c r="G68" s="1330">
        <f>SUM(G63,G61)*$B$68</f>
        <v>3143815.877125856</v>
      </c>
      <c r="H68" s="1331"/>
      <c r="I68" s="1330">
        <f>SUM(I63,I61)*$B$68</f>
        <v>3528861.0072248001</v>
      </c>
      <c r="J68" s="1331"/>
      <c r="K68" s="1330">
        <f>SUM(K63,K61)*$B$68</f>
        <v>3805944.6226326972</v>
      </c>
      <c r="L68" s="1331"/>
      <c r="M68" s="1330">
        <f>SUM(M63,M61)*$B$68</f>
        <v>4129909.2347572017</v>
      </c>
      <c r="N68" s="1331"/>
    </row>
    <row r="69" spans="1:14">
      <c r="A69" s="229" t="s">
        <v>445</v>
      </c>
      <c r="B69" s="255">
        <v>0.16</v>
      </c>
      <c r="C69" s="1330">
        <f>C68*$B$69</f>
        <v>425116.5024984678</v>
      </c>
      <c r="D69" s="1331"/>
      <c r="E69" s="1330">
        <f>E68*$B$69</f>
        <v>450134.42105266714</v>
      </c>
      <c r="F69" s="1331"/>
      <c r="G69" s="1330">
        <f>G68*$B$69</f>
        <v>503010.54034013697</v>
      </c>
      <c r="H69" s="1331"/>
      <c r="I69" s="1330">
        <f>I68*$B$69</f>
        <v>564617.76115596807</v>
      </c>
      <c r="J69" s="1331"/>
      <c r="K69" s="1330">
        <f>K68*$B$69</f>
        <v>608951.13962123159</v>
      </c>
      <c r="L69" s="1331"/>
      <c r="M69" s="1330">
        <f>M68*$B$69</f>
        <v>660785.47756115231</v>
      </c>
      <c r="N69" s="1331"/>
    </row>
    <row r="70" spans="1:14">
      <c r="A70" s="1326" t="s">
        <v>13</v>
      </c>
      <c r="B70" s="1327"/>
      <c r="C70" s="1328">
        <f>'05-ED-2014'!F21*B109</f>
        <v>19495989.528729789</v>
      </c>
      <c r="D70" s="1329"/>
      <c r="E70" s="1328">
        <f>'05-ED-2014'!G21*B110</f>
        <v>20141869.747813225</v>
      </c>
      <c r="F70" s="1329"/>
      <c r="G70" s="1328">
        <f>'05-ED-2014'!H21*B111</f>
        <v>21600982.145253114</v>
      </c>
      <c r="H70" s="1329"/>
      <c r="I70" s="1328">
        <f>'05-ED-2014'!I21*B112</f>
        <v>23271713.749664802</v>
      </c>
      <c r="J70" s="1329"/>
      <c r="K70" s="1328">
        <f>'05-ED-2014'!J21*B112</f>
        <v>30249203.174176231</v>
      </c>
      <c r="L70" s="1329"/>
      <c r="M70" s="1322">
        <f>'05-ED-2014'!K21</f>
        <v>31845116.990092896</v>
      </c>
      <c r="N70" s="1323"/>
    </row>
    <row r="71" spans="1:14">
      <c r="A71" s="1324"/>
      <c r="B71" s="1325"/>
      <c r="C71" s="1324"/>
      <c r="D71" s="1325"/>
      <c r="E71" s="1324"/>
      <c r="F71" s="1325"/>
      <c r="G71" s="1324"/>
      <c r="H71" s="1325"/>
      <c r="I71" s="1324"/>
      <c r="J71" s="1325"/>
      <c r="K71" s="1324"/>
      <c r="L71" s="1325"/>
      <c r="M71" s="1324"/>
      <c r="N71" s="1325"/>
    </row>
    <row r="72" spans="1:14">
      <c r="A72" s="229" t="s">
        <v>365</v>
      </c>
      <c r="B72" s="255">
        <v>0.1</v>
      </c>
      <c r="C72" s="1317">
        <f>SUM(C70,C61)*$B$72</f>
        <v>3997232.4861818464</v>
      </c>
      <c r="D72" s="1318"/>
      <c r="E72" s="1317">
        <f>SUM(E70,E61)*$B$72</f>
        <v>4187897.4758507111</v>
      </c>
      <c r="F72" s="1318"/>
      <c r="G72" s="1317">
        <f>SUM(G70,G61)*$B$72</f>
        <v>4919967.8675955599</v>
      </c>
      <c r="H72" s="1318"/>
      <c r="I72" s="1317">
        <f>SUM(I70,I61)*$B$72</f>
        <v>5701173.1876001125</v>
      </c>
      <c r="J72" s="1318"/>
      <c r="K72" s="1317">
        <f>SUM(K70,K61)*$B$72</f>
        <v>6855348.3300512554</v>
      </c>
      <c r="L72" s="1318"/>
      <c r="M72" s="1317">
        <f>SUM(M70,M61)*$B$72</f>
        <v>7186488.7818129603</v>
      </c>
      <c r="N72" s="1318"/>
    </row>
    <row r="73" spans="1:14">
      <c r="A73" s="229" t="s">
        <v>439</v>
      </c>
      <c r="B73" s="255">
        <v>0.1</v>
      </c>
      <c r="C73" s="1317">
        <f>SUM(C70,C61)*$B$73</f>
        <v>3997232.4861818464</v>
      </c>
      <c r="D73" s="1318"/>
      <c r="E73" s="1317">
        <f>SUM(E70,E61)*$B$73</f>
        <v>4187897.4758507111</v>
      </c>
      <c r="F73" s="1318"/>
      <c r="G73" s="1317">
        <f>SUM(G70,G61)*$B$73</f>
        <v>4919967.8675955599</v>
      </c>
      <c r="H73" s="1318"/>
      <c r="I73" s="1317">
        <f>SUM(I70,I61)*$B$73</f>
        <v>5701173.1876001125</v>
      </c>
      <c r="J73" s="1318"/>
      <c r="K73" s="1317">
        <f>SUM(K70,K61)*$B$73</f>
        <v>6855348.3300512554</v>
      </c>
      <c r="L73" s="1318"/>
      <c r="M73" s="1317">
        <f>SUM(M70,M61)*$B$73</f>
        <v>7186488.7818129603</v>
      </c>
      <c r="N73" s="1318"/>
    </row>
    <row r="74" spans="1:14">
      <c r="A74" s="229" t="s">
        <v>440</v>
      </c>
      <c r="B74" s="255">
        <v>0.05</v>
      </c>
      <c r="C74" s="1317">
        <f>SUM(C70,C61)*$B$74</f>
        <v>1998616.2430909232</v>
      </c>
      <c r="D74" s="1318"/>
      <c r="E74" s="1317">
        <f>SUM(E70,E61)*$B$74</f>
        <v>2093948.7379253556</v>
      </c>
      <c r="F74" s="1318"/>
      <c r="G74" s="1317">
        <f>SUM(G70,G61)*$B$74</f>
        <v>2459983.93379778</v>
      </c>
      <c r="H74" s="1318"/>
      <c r="I74" s="1317">
        <f>SUM(I70,I61)*$B$74</f>
        <v>2850586.5938000563</v>
      </c>
      <c r="J74" s="1318"/>
      <c r="K74" s="1317">
        <f>SUM(K70,K61)*$B$74</f>
        <v>3427674.1650256277</v>
      </c>
      <c r="L74" s="1318"/>
      <c r="M74" s="1317">
        <f>SUM(M70,M61)*$B$74</f>
        <v>3593244.3909064801</v>
      </c>
      <c r="N74" s="1318"/>
    </row>
    <row r="75" spans="1:14">
      <c r="A75" s="229" t="s">
        <v>445</v>
      </c>
      <c r="B75" s="255">
        <v>0.16</v>
      </c>
      <c r="C75" s="1317">
        <f>C74*$B$75</f>
        <v>319778.59889454773</v>
      </c>
      <c r="D75" s="1318"/>
      <c r="E75" s="1317">
        <f>E74*$B$75</f>
        <v>335031.79806805687</v>
      </c>
      <c r="F75" s="1318"/>
      <c r="G75" s="1317">
        <f>G74*$B$75</f>
        <v>393597.42940764478</v>
      </c>
      <c r="H75" s="1318"/>
      <c r="I75" s="1317">
        <f>I74*$B$75</f>
        <v>456093.85500800901</v>
      </c>
      <c r="J75" s="1318"/>
      <c r="K75" s="1317">
        <f>K74*$B$75</f>
        <v>548427.86640410044</v>
      </c>
      <c r="L75" s="1318"/>
      <c r="M75" s="1317">
        <f>M74*$B$75</f>
        <v>574919.10254503682</v>
      </c>
      <c r="N75" s="1318"/>
    </row>
    <row r="76" spans="1:14">
      <c r="A76" s="1319"/>
      <c r="B76" s="1320"/>
      <c r="C76" s="1321"/>
      <c r="D76" s="900"/>
      <c r="E76" s="1321"/>
      <c r="F76" s="900"/>
      <c r="G76" s="1321"/>
      <c r="H76" s="900"/>
      <c r="I76" s="1321"/>
      <c r="J76" s="900"/>
      <c r="K76" s="1321"/>
      <c r="L76" s="900"/>
      <c r="M76" s="1321"/>
      <c r="N76" s="900"/>
    </row>
    <row r="77" spans="1:14" ht="26.25" customHeight="1" thickBot="1">
      <c r="A77" s="1315" t="s">
        <v>542</v>
      </c>
      <c r="B77" s="1316"/>
      <c r="C77" s="795"/>
      <c r="D77" s="798">
        <f>SUM(C61,C63,C66:D69)</f>
        <v>66849570.017884053</v>
      </c>
      <c r="E77" s="795"/>
      <c r="F77" s="798">
        <f>SUM(E61,E63,E66:F69)</f>
        <v>68609927.209462509</v>
      </c>
      <c r="G77" s="795"/>
      <c r="H77" s="798">
        <f>SUM(G61,G63,G66:H69)</f>
        <v>76338537.815416291</v>
      </c>
      <c r="I77" s="795"/>
      <c r="J77" s="798">
        <f>SUM(I61,I63,I66:J69)</f>
        <v>85412141.129142314</v>
      </c>
      <c r="K77" s="795"/>
      <c r="L77" s="798">
        <f>SUM(K61,K63,K66:L69)</f>
        <v>91927138.692805022</v>
      </c>
      <c r="M77" s="795"/>
      <c r="N77" s="801">
        <f>SUM(M61,M63,M66:N69)</f>
        <v>103908516.34649117</v>
      </c>
    </row>
    <row r="78" spans="1:14" ht="21" customHeight="1" thickBot="1">
      <c r="A78" s="1313" t="s">
        <v>543</v>
      </c>
      <c r="B78" s="1314"/>
      <c r="C78" s="796"/>
      <c r="D78" s="799">
        <f>SUM(C61,C70,C72:D75)</f>
        <v>50285184.67616763</v>
      </c>
      <c r="E78" s="797"/>
      <c r="F78" s="800">
        <f>SUM(E61,E70,E72:F75)</f>
        <v>52683750.24620194</v>
      </c>
      <c r="G78" s="797"/>
      <c r="H78" s="800">
        <f>SUM(G61,G70,G72:H75)</f>
        <v>61893195.774352133</v>
      </c>
      <c r="I78" s="797"/>
      <c r="J78" s="800">
        <f>SUM(I61,I70,I72:J75)</f>
        <v>71720758.700009406</v>
      </c>
      <c r="K78" s="797"/>
      <c r="L78" s="800">
        <f>SUM(K61,K70,K72:L75)</f>
        <v>86240281.992044792</v>
      </c>
      <c r="M78" s="797"/>
      <c r="N78" s="800">
        <f>SUM(M61,M70,M72:N75)</f>
        <v>90406028.875207052</v>
      </c>
    </row>
    <row r="83" spans="1:15" ht="15" customHeight="1">
      <c r="L83" s="171"/>
      <c r="M83" s="171"/>
      <c r="N83" s="171"/>
      <c r="O83" s="171"/>
    </row>
    <row r="84" spans="1:15" ht="15" customHeight="1">
      <c r="A84" s="169" t="s">
        <v>93</v>
      </c>
      <c r="B84" s="170"/>
      <c r="C84" s="5"/>
      <c r="D84" s="5"/>
      <c r="E84" s="5"/>
      <c r="F84" s="5"/>
      <c r="G84" s="5"/>
      <c r="H84" s="5"/>
      <c r="I84" s="5"/>
      <c r="J84" s="5"/>
      <c r="K84" s="5"/>
      <c r="L84" s="171"/>
      <c r="M84" s="171"/>
      <c r="N84" s="171"/>
      <c r="O84" s="171"/>
    </row>
    <row r="85" spans="1:15">
      <c r="O85" s="119"/>
    </row>
    <row r="86" spans="1:15">
      <c r="A86" s="1307" t="s">
        <v>73</v>
      </c>
      <c r="B86" s="1308"/>
    </row>
    <row r="88" spans="1:15">
      <c r="A88" s="1309" t="s">
        <v>94</v>
      </c>
      <c r="B88" s="1310"/>
    </row>
    <row r="89" spans="1:15">
      <c r="A89" s="24"/>
      <c r="B89" s="24"/>
    </row>
    <row r="90" spans="1:15" ht="15.75">
      <c r="A90" s="1311" t="s">
        <v>74</v>
      </c>
      <c r="B90" s="1312"/>
      <c r="D90" s="171"/>
      <c r="E90" s="171"/>
      <c r="F90" s="171"/>
      <c r="G90" s="171"/>
      <c r="H90" s="171"/>
      <c r="I90" s="171"/>
      <c r="J90" s="171"/>
      <c r="K90" s="171"/>
    </row>
    <row r="91" spans="1:15" ht="15.75">
      <c r="D91" s="171"/>
      <c r="E91" s="171"/>
      <c r="F91" s="171"/>
      <c r="G91" s="171"/>
      <c r="H91" s="171"/>
      <c r="I91" s="171"/>
      <c r="J91" s="171"/>
      <c r="K91" s="171"/>
    </row>
    <row r="92" spans="1:15">
      <c r="A92" s="13" t="s">
        <v>95</v>
      </c>
      <c r="B92" s="21"/>
    </row>
    <row r="94" spans="1:15">
      <c r="A94" s="293" t="s">
        <v>96</v>
      </c>
      <c r="B94" s="293"/>
      <c r="C94" s="293"/>
      <c r="D94" s="293"/>
      <c r="E94" s="293"/>
      <c r="F94" s="293"/>
      <c r="G94" s="293"/>
      <c r="H94" s="293"/>
      <c r="I94" s="293"/>
      <c r="J94" s="293"/>
    </row>
    <row r="95" spans="1:15">
      <c r="A95" s="293"/>
      <c r="B95" s="293"/>
      <c r="C95" s="293"/>
      <c r="D95" s="293"/>
      <c r="E95" s="293"/>
      <c r="F95" s="293"/>
      <c r="G95" s="293"/>
      <c r="H95" s="293"/>
      <c r="I95" s="293"/>
      <c r="J95" s="293"/>
    </row>
    <row r="96" spans="1:15">
      <c r="A96" s="293" t="s">
        <v>97</v>
      </c>
      <c r="B96" s="293"/>
      <c r="C96" s="293"/>
      <c r="D96" s="293"/>
      <c r="E96" s="293"/>
      <c r="F96" s="293"/>
      <c r="G96" s="293"/>
      <c r="H96" s="293"/>
      <c r="I96" s="293"/>
      <c r="J96" s="293"/>
    </row>
    <row r="97" spans="1:10">
      <c r="A97" s="293"/>
      <c r="B97" s="293"/>
      <c r="C97" s="293"/>
      <c r="D97" s="293"/>
      <c r="E97" s="293"/>
      <c r="F97" s="293"/>
      <c r="G97" s="293"/>
      <c r="H97" s="293"/>
      <c r="I97" s="293"/>
      <c r="J97" s="293"/>
    </row>
    <row r="98" spans="1:10">
      <c r="A98" s="293" t="s">
        <v>98</v>
      </c>
      <c r="B98" s="293"/>
      <c r="C98" s="293"/>
      <c r="D98" s="293"/>
      <c r="E98" s="293"/>
      <c r="F98" s="293"/>
      <c r="G98" s="293"/>
      <c r="H98" s="293"/>
      <c r="I98" s="293"/>
      <c r="J98" s="293"/>
    </row>
    <row r="101" spans="1:10">
      <c r="A101" s="1362" t="s">
        <v>608</v>
      </c>
      <c r="B101" s="1362"/>
    </row>
    <row r="102" spans="1:10">
      <c r="A102" s="57" t="s">
        <v>623</v>
      </c>
      <c r="B102" s="57">
        <v>1.75</v>
      </c>
    </row>
    <row r="103" spans="1:10">
      <c r="A103" s="57" t="s">
        <v>624</v>
      </c>
      <c r="B103" s="57">
        <v>1.85</v>
      </c>
    </row>
    <row r="104" spans="1:10">
      <c r="A104" s="57" t="s">
        <v>625</v>
      </c>
      <c r="B104" s="57">
        <v>1.8</v>
      </c>
    </row>
    <row r="105" spans="1:10">
      <c r="A105" s="57" t="s">
        <v>627</v>
      </c>
      <c r="B105" s="57">
        <v>0.9</v>
      </c>
    </row>
    <row r="106" spans="1:10">
      <c r="A106" s="57" t="s">
        <v>626</v>
      </c>
      <c r="B106" s="57">
        <v>0.8</v>
      </c>
    </row>
    <row r="107" spans="1:10">
      <c r="A107" s="57" t="s">
        <v>628</v>
      </c>
      <c r="B107" s="57">
        <v>0.78</v>
      </c>
    </row>
    <row r="109" spans="1:10">
      <c r="A109" s="57" t="s">
        <v>629</v>
      </c>
      <c r="B109" s="57">
        <v>3.8</v>
      </c>
    </row>
    <row r="110" spans="1:10">
      <c r="A110" s="57" t="s">
        <v>630</v>
      </c>
      <c r="B110" s="57">
        <v>1.95</v>
      </c>
    </row>
    <row r="111" spans="1:10">
      <c r="A111" s="57" t="s">
        <v>631</v>
      </c>
      <c r="B111" s="57">
        <v>1.5</v>
      </c>
    </row>
    <row r="112" spans="1:10">
      <c r="A112" s="57" t="s">
        <v>618</v>
      </c>
      <c r="B112" s="57">
        <v>1.2</v>
      </c>
    </row>
  </sheetData>
  <mergeCells count="169">
    <mergeCell ref="A101:B101"/>
    <mergeCell ref="A1:B3"/>
    <mergeCell ref="C1:L2"/>
    <mergeCell ref="M1:N1"/>
    <mergeCell ref="M2:N2"/>
    <mergeCell ref="C3:L3"/>
    <mergeCell ref="M3:N3"/>
    <mergeCell ref="C66:D66"/>
    <mergeCell ref="C69:D69"/>
    <mergeCell ref="E66:F66"/>
    <mergeCell ref="G66:H66"/>
    <mergeCell ref="I66:J66"/>
    <mergeCell ref="K66:L66"/>
    <mergeCell ref="M66:N66"/>
    <mergeCell ref="E69:F69"/>
    <mergeCell ref="G69:H69"/>
    <mergeCell ref="I69:J69"/>
    <mergeCell ref="K69:L69"/>
    <mergeCell ref="M69:N69"/>
    <mergeCell ref="A9:B9"/>
    <mergeCell ref="A11:B11"/>
    <mergeCell ref="A12:B12"/>
    <mergeCell ref="A13:B13"/>
    <mergeCell ref="A14:B14"/>
    <mergeCell ref="A15:B15"/>
    <mergeCell ref="C4:N5"/>
    <mergeCell ref="A7:B7"/>
    <mergeCell ref="A8:B8"/>
    <mergeCell ref="C8:D8"/>
    <mergeCell ref="E8:F8"/>
    <mergeCell ref="G8:H8"/>
    <mergeCell ref="I8:J8"/>
    <mergeCell ref="K8:L8"/>
    <mergeCell ref="M8:N8"/>
    <mergeCell ref="A22:B22"/>
    <mergeCell ref="A23:B23"/>
    <mergeCell ref="A24:B24"/>
    <mergeCell ref="A25:B25"/>
    <mergeCell ref="A26:B26"/>
    <mergeCell ref="A16:B16"/>
    <mergeCell ref="A17:B17"/>
    <mergeCell ref="A18:B18"/>
    <mergeCell ref="A19:B19"/>
    <mergeCell ref="A20:B20"/>
    <mergeCell ref="A21:B21"/>
    <mergeCell ref="A31:B3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M61:N61"/>
    <mergeCell ref="A62:B62"/>
    <mergeCell ref="C62:D62"/>
    <mergeCell ref="E62:F62"/>
    <mergeCell ref="G62:H62"/>
    <mergeCell ref="I62:J62"/>
    <mergeCell ref="K62:L62"/>
    <mergeCell ref="M62:N62"/>
    <mergeCell ref="A61:B61"/>
    <mergeCell ref="C61:D61"/>
    <mergeCell ref="E61:F61"/>
    <mergeCell ref="G61:H61"/>
    <mergeCell ref="I61:J61"/>
    <mergeCell ref="K61:L61"/>
    <mergeCell ref="M63:N63"/>
    <mergeCell ref="A64:B64"/>
    <mergeCell ref="C64:D64"/>
    <mergeCell ref="E64:F64"/>
    <mergeCell ref="G64:H64"/>
    <mergeCell ref="I64:J64"/>
    <mergeCell ref="K64:L64"/>
    <mergeCell ref="M64:N64"/>
    <mergeCell ref="A63:B63"/>
    <mergeCell ref="C63:D63"/>
    <mergeCell ref="E63:F63"/>
    <mergeCell ref="G63:H63"/>
    <mergeCell ref="I63:J63"/>
    <mergeCell ref="K63:L63"/>
    <mergeCell ref="C67:D67"/>
    <mergeCell ref="E67:F67"/>
    <mergeCell ref="G67:H67"/>
    <mergeCell ref="I67:J67"/>
    <mergeCell ref="K67:L67"/>
    <mergeCell ref="M67:N67"/>
    <mergeCell ref="M68:N68"/>
    <mergeCell ref="C68:D68"/>
    <mergeCell ref="E68:F68"/>
    <mergeCell ref="G68:H68"/>
    <mergeCell ref="I68:J68"/>
    <mergeCell ref="K68:L68"/>
    <mergeCell ref="M70:N70"/>
    <mergeCell ref="A71:B71"/>
    <mergeCell ref="C71:D71"/>
    <mergeCell ref="E71:F71"/>
    <mergeCell ref="G71:H71"/>
    <mergeCell ref="I71:J71"/>
    <mergeCell ref="K71:L71"/>
    <mergeCell ref="M71:N71"/>
    <mergeCell ref="A70:B70"/>
    <mergeCell ref="C70:D70"/>
    <mergeCell ref="E70:F70"/>
    <mergeCell ref="G70:H70"/>
    <mergeCell ref="I70:J70"/>
    <mergeCell ref="K70:L70"/>
    <mergeCell ref="M72:N72"/>
    <mergeCell ref="C74:D74"/>
    <mergeCell ref="E74:F74"/>
    <mergeCell ref="G74:H74"/>
    <mergeCell ref="I74:J74"/>
    <mergeCell ref="K74:L74"/>
    <mergeCell ref="M74:N74"/>
    <mergeCell ref="C72:D72"/>
    <mergeCell ref="E72:F72"/>
    <mergeCell ref="G72:H72"/>
    <mergeCell ref="I72:J72"/>
    <mergeCell ref="K72:L72"/>
    <mergeCell ref="C73:D73"/>
    <mergeCell ref="E73:F73"/>
    <mergeCell ref="G73:H73"/>
    <mergeCell ref="I73:J73"/>
    <mergeCell ref="K73:L73"/>
    <mergeCell ref="M73:N73"/>
    <mergeCell ref="A86:B86"/>
    <mergeCell ref="A88:B88"/>
    <mergeCell ref="A90:B90"/>
    <mergeCell ref="A78:B78"/>
    <mergeCell ref="A77:B77"/>
    <mergeCell ref="M75:N75"/>
    <mergeCell ref="A76:B76"/>
    <mergeCell ref="C76:D76"/>
    <mergeCell ref="E76:F76"/>
    <mergeCell ref="G76:H76"/>
    <mergeCell ref="I76:J76"/>
    <mergeCell ref="K76:L76"/>
    <mergeCell ref="M76:N76"/>
    <mergeCell ref="C75:D75"/>
    <mergeCell ref="E75:F75"/>
    <mergeCell ref="G75:H75"/>
    <mergeCell ref="I75:J75"/>
    <mergeCell ref="K75:L75"/>
  </mergeCells>
  <pageMargins left="0.7" right="0.7" top="0.75" bottom="0.75" header="0.3" footer="0.3"/>
  <pageSetup orientation="portrait" horizontalDpi="4294967292" verticalDpi="0" r:id="rId1"/>
  <ignoredErrors>
    <ignoredError sqref="E15:M22 E32:M33 E46:M50 E24:M24 G42 E26:M26 J45 H45 G45 I45 K45 M45 E35:M35 L34:M34 J34 H34 F34 E34 G34 I34 K34 E37:M40 E36:G36 H36:I36 J36:K36 L36:M36 E55:M55 D56:E56" formula="1"/>
    <ignoredError sqref="L45 E66:F68" evalError="1" formula="1"/>
    <ignoredError sqref="C69:L69 C66:D68 G66:L68 C60:L62 C71:L76 D70 F70 H70 J70 L70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Q116"/>
  <sheetViews>
    <sheetView zoomScale="75" zoomScaleNormal="75" workbookViewId="0">
      <pane ySplit="8" topLeftCell="A39" activePane="bottomLeft" state="frozen"/>
      <selection pane="bottomLeft" activeCell="H44" sqref="H44"/>
    </sheetView>
  </sheetViews>
  <sheetFormatPr baseColWidth="10" defaultRowHeight="15"/>
  <cols>
    <col min="1" max="1" width="28.85546875" customWidth="1"/>
    <col min="2" max="2" width="26" customWidth="1"/>
    <col min="3" max="13" width="18.7109375" customWidth="1"/>
    <col min="14" max="14" width="18.85546875" customWidth="1"/>
    <col min="17" max="17" width="15.42578125" bestFit="1" customWidth="1"/>
  </cols>
  <sheetData>
    <row r="1" spans="1:14" ht="21" customHeight="1">
      <c r="A1" s="1363" t="s">
        <v>167</v>
      </c>
      <c r="B1" s="1363"/>
      <c r="C1" s="1180" t="s">
        <v>337</v>
      </c>
      <c r="D1" s="1364"/>
      <c r="E1" s="1364"/>
      <c r="F1" s="1364"/>
      <c r="G1" s="1364"/>
      <c r="H1" s="1364"/>
      <c r="I1" s="1364"/>
      <c r="J1" s="1364"/>
      <c r="K1" s="1364"/>
      <c r="L1" s="1365"/>
      <c r="M1" s="1222" t="s">
        <v>390</v>
      </c>
      <c r="N1" s="1222"/>
    </row>
    <row r="2" spans="1:14" ht="24" customHeight="1">
      <c r="A2" s="1363"/>
      <c r="B2" s="1363"/>
      <c r="C2" s="1366"/>
      <c r="D2" s="1367"/>
      <c r="E2" s="1367"/>
      <c r="F2" s="1367"/>
      <c r="G2" s="1367"/>
      <c r="H2" s="1367"/>
      <c r="I2" s="1367"/>
      <c r="J2" s="1367"/>
      <c r="K2" s="1367"/>
      <c r="L2" s="1368"/>
      <c r="M2" s="1222" t="s">
        <v>564</v>
      </c>
      <c r="N2" s="1222"/>
    </row>
    <row r="3" spans="1:14" ht="24" customHeight="1">
      <c r="A3" s="1363"/>
      <c r="B3" s="1363"/>
      <c r="C3" s="1369" t="s">
        <v>387</v>
      </c>
      <c r="D3" s="1370"/>
      <c r="E3" s="1370"/>
      <c r="F3" s="1370"/>
      <c r="G3" s="1370"/>
      <c r="H3" s="1370"/>
      <c r="I3" s="1370"/>
      <c r="J3" s="1370"/>
      <c r="K3" s="1370"/>
      <c r="L3" s="1371"/>
      <c r="M3" s="1372">
        <v>41959</v>
      </c>
      <c r="N3" s="1372"/>
    </row>
    <row r="4" spans="1:14" ht="15" customHeight="1">
      <c r="A4" s="161"/>
      <c r="B4" s="32"/>
      <c r="C4" s="1375" t="s">
        <v>99</v>
      </c>
      <c r="D4" s="1376"/>
      <c r="E4" s="1376"/>
      <c r="F4" s="1376"/>
      <c r="G4" s="1376"/>
      <c r="H4" s="1376"/>
      <c r="I4" s="1376"/>
      <c r="J4" s="1376"/>
      <c r="K4" s="1376"/>
      <c r="L4" s="1376"/>
      <c r="M4" s="1376"/>
      <c r="N4" s="1376"/>
    </row>
    <row r="5" spans="1:14" ht="15" customHeight="1">
      <c r="A5" s="166" t="s">
        <v>92</v>
      </c>
      <c r="B5" s="52"/>
      <c r="C5" s="1377"/>
      <c r="D5" s="1378"/>
      <c r="E5" s="1378"/>
      <c r="F5" s="1378"/>
      <c r="G5" s="1378"/>
      <c r="H5" s="1378"/>
      <c r="I5" s="1378"/>
      <c r="J5" s="1378"/>
      <c r="K5" s="1378"/>
      <c r="L5" s="1378"/>
      <c r="M5" s="1378"/>
      <c r="N5" s="1378"/>
    </row>
    <row r="6" spans="1:14">
      <c r="A6" s="167" t="s">
        <v>70</v>
      </c>
      <c r="B6" s="53"/>
    </row>
    <row r="7" spans="1:14">
      <c r="A7" s="1357" t="s">
        <v>91</v>
      </c>
      <c r="B7" s="1358"/>
      <c r="C7" s="168" t="s">
        <v>89</v>
      </c>
      <c r="D7" s="168" t="s">
        <v>90</v>
      </c>
      <c r="E7" s="168" t="s">
        <v>89</v>
      </c>
      <c r="F7" s="168" t="s">
        <v>90</v>
      </c>
      <c r="G7" s="168" t="s">
        <v>89</v>
      </c>
      <c r="H7" s="168" t="s">
        <v>90</v>
      </c>
      <c r="I7" s="168" t="s">
        <v>89</v>
      </c>
      <c r="J7" s="168" t="s">
        <v>90</v>
      </c>
      <c r="K7" s="168" t="s">
        <v>89</v>
      </c>
      <c r="L7" s="168" t="s">
        <v>90</v>
      </c>
      <c r="M7" s="168" t="s">
        <v>89</v>
      </c>
      <c r="N7" s="168" t="s">
        <v>90</v>
      </c>
    </row>
    <row r="8" spans="1:14">
      <c r="A8" s="1359" t="s">
        <v>76</v>
      </c>
      <c r="B8" s="1360"/>
      <c r="C8" s="1361" t="s">
        <v>0</v>
      </c>
      <c r="D8" s="1361"/>
      <c r="E8" s="1361" t="s">
        <v>1</v>
      </c>
      <c r="F8" s="1361"/>
      <c r="G8" s="1361" t="s">
        <v>2</v>
      </c>
      <c r="H8" s="1361"/>
      <c r="I8" s="1361" t="s">
        <v>3</v>
      </c>
      <c r="J8" s="1361"/>
      <c r="K8" s="1361" t="s">
        <v>4</v>
      </c>
      <c r="L8" s="1361"/>
      <c r="M8" s="1361" t="s">
        <v>5</v>
      </c>
      <c r="N8" s="1361"/>
    </row>
    <row r="9" spans="1:14">
      <c r="A9" s="1324"/>
      <c r="B9" s="1325"/>
      <c r="C9" s="125"/>
      <c r="D9" s="125"/>
      <c r="E9" s="125"/>
      <c r="F9" s="125"/>
      <c r="G9" s="125"/>
      <c r="H9" s="125"/>
      <c r="I9" s="3"/>
      <c r="J9" s="3"/>
      <c r="K9" s="3"/>
      <c r="L9" s="3"/>
      <c r="M9" s="3"/>
      <c r="N9" s="3"/>
    </row>
    <row r="10" spans="1:14">
      <c r="A10" s="165" t="s">
        <v>32</v>
      </c>
      <c r="B10" s="165"/>
      <c r="C10" s="125"/>
      <c r="D10" s="125"/>
      <c r="E10" s="125"/>
      <c r="F10" s="125"/>
      <c r="G10" s="125"/>
      <c r="H10" s="125"/>
      <c r="I10" s="3"/>
      <c r="J10" s="3"/>
      <c r="K10" s="3"/>
      <c r="L10" s="3"/>
      <c r="M10" s="3"/>
      <c r="N10" s="3"/>
    </row>
    <row r="11" spans="1:14">
      <c r="A11" s="1348"/>
      <c r="B11" s="1349"/>
      <c r="C11" s="125"/>
      <c r="D11" s="125"/>
      <c r="E11" s="125"/>
      <c r="F11" s="125"/>
      <c r="G11" s="125"/>
      <c r="H11" s="125"/>
      <c r="I11" s="3"/>
      <c r="J11" s="3"/>
      <c r="K11" s="3"/>
      <c r="L11" s="3"/>
      <c r="M11" s="3"/>
      <c r="N11" s="3"/>
    </row>
    <row r="12" spans="1:14">
      <c r="A12" s="1346" t="s">
        <v>33</v>
      </c>
      <c r="B12" s="1347"/>
      <c r="C12" s="125"/>
      <c r="D12" s="125"/>
      <c r="E12" s="125"/>
      <c r="F12" s="125"/>
      <c r="G12" s="125"/>
      <c r="H12" s="125"/>
      <c r="I12" s="3"/>
      <c r="J12" s="3"/>
      <c r="K12" s="3"/>
      <c r="L12" s="3"/>
      <c r="M12" s="3"/>
      <c r="N12" s="3"/>
    </row>
    <row r="13" spans="1:14">
      <c r="A13" s="1007"/>
      <c r="B13" s="1152"/>
      <c r="C13" s="125"/>
      <c r="D13" s="125"/>
      <c r="E13" s="125"/>
      <c r="F13" s="125"/>
      <c r="G13" s="125"/>
      <c r="H13" s="125"/>
      <c r="I13" s="3"/>
      <c r="J13" s="3"/>
      <c r="K13" s="3"/>
      <c r="L13" s="3"/>
      <c r="M13" s="3"/>
      <c r="N13" s="3"/>
    </row>
    <row r="14" spans="1:14">
      <c r="A14" s="1346" t="s">
        <v>34</v>
      </c>
      <c r="B14" s="1347"/>
      <c r="C14" s="125"/>
      <c r="D14" s="125"/>
      <c r="E14" s="125"/>
      <c r="F14" s="125"/>
      <c r="G14" s="125"/>
      <c r="H14" s="125"/>
      <c r="I14" s="3"/>
      <c r="J14" s="3"/>
      <c r="K14" s="3"/>
      <c r="L14" s="3"/>
      <c r="M14" s="3"/>
      <c r="N14" s="3"/>
    </row>
    <row r="15" spans="1:14">
      <c r="A15" s="1007" t="s">
        <v>35</v>
      </c>
      <c r="B15" s="1152"/>
      <c r="C15" s="111">
        <f>'03-APU-2014'!D114</f>
        <v>302073.86135050002</v>
      </c>
      <c r="D15" s="111">
        <f>C15</f>
        <v>302073.86135050002</v>
      </c>
      <c r="E15" s="111">
        <f>'03-APU-2014'!E114</f>
        <v>302073.86135050002</v>
      </c>
      <c r="F15" s="176">
        <f>E15</f>
        <v>302073.86135050002</v>
      </c>
      <c r="G15" s="111">
        <f>'03-APU-2014'!F114</f>
        <v>302073.86135050002</v>
      </c>
      <c r="I15" s="64">
        <f>'03-APU-2014'!G114</f>
        <v>302073.86135050002</v>
      </c>
      <c r="J15" s="64">
        <f>I15</f>
        <v>302073.86135050002</v>
      </c>
      <c r="K15" s="64">
        <f>'03-APU-2014'!H114</f>
        <v>302073.86135050002</v>
      </c>
      <c r="L15" s="64">
        <f>K15</f>
        <v>302073.86135050002</v>
      </c>
      <c r="M15" s="64">
        <f>'03-APU-2014'!I114</f>
        <v>302073.86135050002</v>
      </c>
      <c r="N15" s="64">
        <f>M15</f>
        <v>302073.86135050002</v>
      </c>
    </row>
    <row r="16" spans="1:14">
      <c r="A16" s="1007" t="s">
        <v>36</v>
      </c>
      <c r="B16" s="1152"/>
      <c r="C16" s="111">
        <f>'03-APU-2014'!D129</f>
        <v>265686.27339793002</v>
      </c>
      <c r="D16" s="111">
        <f>C16</f>
        <v>265686.27339793002</v>
      </c>
      <c r="E16" s="111">
        <f>'03-APU-2014'!E129</f>
        <v>265686.27339793002</v>
      </c>
      <c r="F16" s="176">
        <f>E16</f>
        <v>265686.27339793002</v>
      </c>
      <c r="G16" s="111">
        <f>'03-APU-2014'!F129</f>
        <v>265686.27339793002</v>
      </c>
      <c r="H16" s="111">
        <f>G15</f>
        <v>302073.86135050002</v>
      </c>
      <c r="I16" s="64">
        <f>'03-APU-2014'!G129</f>
        <v>265686.27339793002</v>
      </c>
      <c r="J16" s="64">
        <f>I16</f>
        <v>265686.27339793002</v>
      </c>
      <c r="K16" s="64">
        <f>'03-APU-2014'!H129</f>
        <v>265686.27339793002</v>
      </c>
      <c r="L16" s="64">
        <f>K16</f>
        <v>265686.27339793002</v>
      </c>
      <c r="M16" s="64">
        <f>'03-APU-2014'!I129</f>
        <v>265686.27339793002</v>
      </c>
      <c r="N16" s="64">
        <f>M16</f>
        <v>265686.27339793002</v>
      </c>
    </row>
    <row r="17" spans="1:14">
      <c r="A17" s="1348"/>
      <c r="B17" s="1349"/>
      <c r="C17" s="125"/>
      <c r="D17" s="111"/>
      <c r="E17" s="125"/>
      <c r="F17" s="176"/>
      <c r="G17" s="125"/>
      <c r="H17" s="111"/>
      <c r="I17" s="3"/>
      <c r="J17" s="3"/>
      <c r="K17" s="3"/>
      <c r="L17" s="3"/>
      <c r="M17" s="3"/>
      <c r="N17" s="3"/>
    </row>
    <row r="18" spans="1:14">
      <c r="A18" s="1346" t="s">
        <v>77</v>
      </c>
      <c r="B18" s="1347"/>
      <c r="C18" s="125"/>
      <c r="D18" s="111"/>
      <c r="E18" s="125"/>
      <c r="F18" s="176"/>
      <c r="G18" s="125"/>
      <c r="H18" s="111"/>
      <c r="I18" s="3"/>
      <c r="J18" s="3"/>
      <c r="K18" s="3"/>
      <c r="L18" s="3"/>
      <c r="M18" s="3"/>
      <c r="N18" s="3"/>
    </row>
    <row r="19" spans="1:14">
      <c r="A19" s="1007" t="s">
        <v>38</v>
      </c>
      <c r="B19" s="1152"/>
      <c r="C19" s="111">
        <f>'03-APU-2014'!D144</f>
        <v>474603.17987826344</v>
      </c>
      <c r="D19" s="111">
        <f>C19</f>
        <v>474603.17987826344</v>
      </c>
      <c r="E19" s="111">
        <f>'03-APU-2014'!E144</f>
        <v>474603.17987826344</v>
      </c>
      <c r="F19" s="176">
        <f>E19</f>
        <v>474603.17987826344</v>
      </c>
      <c r="G19" s="111">
        <f>'03-APU-2014'!F144</f>
        <v>474603.17987826344</v>
      </c>
      <c r="H19" s="111">
        <f>G19</f>
        <v>474603.17987826344</v>
      </c>
      <c r="I19" s="64">
        <f>'03-APU-2014'!D144</f>
        <v>474603.17987826344</v>
      </c>
      <c r="J19" s="64">
        <f>I19</f>
        <v>474603.17987826344</v>
      </c>
      <c r="K19" s="64">
        <f>'03-APU-2014'!H144</f>
        <v>474603.17987826344</v>
      </c>
      <c r="L19" s="64">
        <f>K19</f>
        <v>474603.17987826344</v>
      </c>
      <c r="M19" s="64">
        <f>'03-APU-2014'!I144</f>
        <v>474603.17987826344</v>
      </c>
      <c r="N19" s="64">
        <f>M19</f>
        <v>474603.17987826344</v>
      </c>
    </row>
    <row r="20" spans="1:14">
      <c r="A20" s="1007" t="s">
        <v>78</v>
      </c>
      <c r="B20" s="1152"/>
      <c r="C20" s="111">
        <f>'03-APU-2014'!D160</f>
        <v>740289.45327619347</v>
      </c>
      <c r="D20" s="111">
        <f t="shared" ref="D20:D21" si="0">C20</f>
        <v>740289.45327619347</v>
      </c>
      <c r="E20" s="111">
        <f>'03-APU-2014'!E160</f>
        <v>740289.45327619347</v>
      </c>
      <c r="F20" s="176">
        <f t="shared" ref="F20:F21" si="1">E20</f>
        <v>740289.45327619347</v>
      </c>
      <c r="G20" s="111">
        <f>'03-APU-2014'!F160</f>
        <v>740289.45327619347</v>
      </c>
      <c r="H20" s="111">
        <f t="shared" ref="H20:H21" si="2">G20</f>
        <v>740289.45327619347</v>
      </c>
      <c r="I20" s="64">
        <f>'03-APU-2014'!G160</f>
        <v>740289.45327619347</v>
      </c>
      <c r="J20" s="64">
        <f>I20</f>
        <v>740289.45327619347</v>
      </c>
      <c r="K20" s="64">
        <f>'03-APU-2014'!H160</f>
        <v>740289.45327619347</v>
      </c>
      <c r="L20" s="64">
        <f>K20</f>
        <v>740289.45327619347</v>
      </c>
      <c r="M20" s="64">
        <f>'03-APU-2014'!I160</f>
        <v>740289.45327619347</v>
      </c>
      <c r="N20" s="64">
        <f>M20</f>
        <v>740289.45327619347</v>
      </c>
    </row>
    <row r="21" spans="1:14">
      <c r="A21" s="1007" t="s">
        <v>40</v>
      </c>
      <c r="B21" s="1152"/>
      <c r="C21" s="111">
        <f>'03-APU-2014'!D176</f>
        <v>596995.36707874015</v>
      </c>
      <c r="D21" s="111">
        <f t="shared" si="0"/>
        <v>596995.36707874015</v>
      </c>
      <c r="E21" s="111">
        <f>'03-APU-2014'!E176</f>
        <v>596995.36707874015</v>
      </c>
      <c r="F21" s="176">
        <f t="shared" si="1"/>
        <v>596995.36707874015</v>
      </c>
      <c r="G21" s="111">
        <f>'03-APU-2014'!F176</f>
        <v>596995.36707874015</v>
      </c>
      <c r="H21" s="111">
        <f t="shared" si="2"/>
        <v>596995.36707874015</v>
      </c>
      <c r="I21" s="64">
        <f>'03-APU-2014'!G176</f>
        <v>596995.36707874015</v>
      </c>
      <c r="J21" s="64">
        <f>I21</f>
        <v>596995.36707874015</v>
      </c>
      <c r="K21" s="64">
        <f>'03-APU-2014'!H176</f>
        <v>596995.36707874015</v>
      </c>
      <c r="L21" s="64">
        <f>K21</f>
        <v>596995.36707874015</v>
      </c>
      <c r="M21" s="64">
        <f>'03-APU-2014'!I176</f>
        <v>596995.36707874015</v>
      </c>
      <c r="N21" s="64">
        <f>M21</f>
        <v>596995.36707874015</v>
      </c>
    </row>
    <row r="22" spans="1:14">
      <c r="A22" s="1007"/>
      <c r="B22" s="1152"/>
      <c r="C22" s="111"/>
      <c r="D22" s="111"/>
      <c r="E22" s="111"/>
      <c r="F22" s="176"/>
      <c r="G22" s="111"/>
      <c r="H22" s="111"/>
      <c r="I22" s="3"/>
      <c r="J22" s="3"/>
      <c r="K22" s="3"/>
      <c r="L22" s="3"/>
      <c r="M22" s="3"/>
      <c r="N22" s="3"/>
    </row>
    <row r="23" spans="1:14">
      <c r="A23" s="1346" t="s">
        <v>441</v>
      </c>
      <c r="B23" s="1347"/>
      <c r="C23" s="111">
        <f>'03-APU-2014'!D203*$B$96</f>
        <v>1742760</v>
      </c>
      <c r="D23" s="111">
        <f>'03-APU-2014'!E203*$B$96</f>
        <v>1742760</v>
      </c>
      <c r="E23" s="111">
        <f>'03-APU-2014'!F203*$B$96</f>
        <v>1742760</v>
      </c>
      <c r="F23" s="111">
        <f>'03-APU-2014'!G203*$B$96</f>
        <v>1742760</v>
      </c>
      <c r="G23" s="111">
        <f>'03-APU-2014'!H203*$B$96</f>
        <v>1742760</v>
      </c>
      <c r="H23" s="111">
        <f>'03-APU-2014'!I203*$B$96</f>
        <v>1742760</v>
      </c>
      <c r="I23" s="111">
        <f>'02-HH-2014'!$G$51*9.5*4</f>
        <v>2081619.3878984498</v>
      </c>
      <c r="J23" s="111">
        <f>'02-HH-2014'!$G$51*9.5*4</f>
        <v>2081619.3878984498</v>
      </c>
      <c r="K23" s="111">
        <f>'02-HH-2014'!$G$51*9.5*4</f>
        <v>2081619.3878984498</v>
      </c>
      <c r="L23" s="111">
        <f>'02-HH-2014'!$G$51*9.5*4</f>
        <v>2081619.3878984498</v>
      </c>
      <c r="M23" s="111">
        <f>'02-HH-2014'!$G$51*9.5*4</f>
        <v>2081619.3878984498</v>
      </c>
      <c r="N23" s="111">
        <f>'02-HH-2014'!$G$51*9.5*4</f>
        <v>2081619.3878984498</v>
      </c>
    </row>
    <row r="24" spans="1:14">
      <c r="A24" s="1007"/>
      <c r="B24" s="1152"/>
      <c r="C24" s="111"/>
      <c r="D24" s="111"/>
      <c r="E24" s="111"/>
      <c r="F24" s="176"/>
      <c r="G24" s="111"/>
      <c r="H24" s="111"/>
      <c r="I24" s="35"/>
      <c r="J24" s="3"/>
      <c r="K24" s="3"/>
      <c r="L24" s="3"/>
      <c r="M24" s="3"/>
      <c r="N24" s="3"/>
    </row>
    <row r="25" spans="1:14">
      <c r="A25" s="1346" t="s">
        <v>42</v>
      </c>
      <c r="B25" s="1347"/>
      <c r="C25" s="111">
        <f>'03-APU-2014'!D66</f>
        <v>70000</v>
      </c>
      <c r="D25" s="111">
        <f>'03-APU-2014'!E66</f>
        <v>70000</v>
      </c>
      <c r="E25" s="111">
        <f>'03-APU-2014'!F66</f>
        <v>70000</v>
      </c>
      <c r="F25" s="111">
        <f>'03-APU-2014'!G66</f>
        <v>70000</v>
      </c>
      <c r="G25" s="111">
        <f>'03-APU-2014'!H66</f>
        <v>70000</v>
      </c>
      <c r="H25" s="111">
        <f>'03-APU-2014'!I66</f>
        <v>70000</v>
      </c>
      <c r="I25" s="111">
        <f>'03-APU-2014'!J66</f>
        <v>70000</v>
      </c>
      <c r="J25" s="111">
        <f>'03-APU-2014'!K66</f>
        <v>70000</v>
      </c>
      <c r="K25" s="111">
        <f>'03-APU-2014'!L66</f>
        <v>70000</v>
      </c>
      <c r="L25" s="111">
        <f>'03-APU-2014'!M66</f>
        <v>70000</v>
      </c>
      <c r="M25" s="111">
        <f>'03-APU-2014'!N66</f>
        <v>70000</v>
      </c>
      <c r="N25" s="111">
        <f>'03-APU-2014'!O66</f>
        <v>70000</v>
      </c>
    </row>
    <row r="26" spans="1:14">
      <c r="A26" s="1319"/>
      <c r="B26" s="1320"/>
      <c r="C26" s="125"/>
      <c r="D26" s="3"/>
      <c r="E26" s="125"/>
      <c r="F26" s="204"/>
      <c r="G26" s="125"/>
      <c r="H26" s="125"/>
      <c r="I26" s="3"/>
      <c r="J26" s="3"/>
      <c r="K26" s="3"/>
      <c r="L26" s="3"/>
      <c r="M26" s="3"/>
      <c r="N26" s="3"/>
    </row>
    <row r="27" spans="1:14">
      <c r="A27" s="1340" t="s">
        <v>12</v>
      </c>
      <c r="B27" s="1341"/>
      <c r="C27" s="251">
        <f t="shared" ref="C27:H27" si="3">SUM(C9:C26)</f>
        <v>4192408.1349816271</v>
      </c>
      <c r="D27" s="251">
        <f t="shared" si="3"/>
        <v>4192408.1349816271</v>
      </c>
      <c r="E27" s="251">
        <f t="shared" si="3"/>
        <v>4192408.1349816271</v>
      </c>
      <c r="F27" s="251">
        <f t="shared" si="3"/>
        <v>4192408.1349816271</v>
      </c>
      <c r="G27" s="251">
        <f t="shared" si="3"/>
        <v>4192408.1349816271</v>
      </c>
      <c r="H27" s="251">
        <f t="shared" si="3"/>
        <v>3926721.8615836971</v>
      </c>
      <c r="I27" s="251">
        <f t="shared" ref="I27:N27" si="4">SUM(I9:I26)</f>
        <v>4531267.5228800774</v>
      </c>
      <c r="J27" s="251">
        <f t="shared" si="4"/>
        <v>4531267.5228800774</v>
      </c>
      <c r="K27" s="251">
        <f t="shared" si="4"/>
        <v>4531267.5228800774</v>
      </c>
      <c r="L27" s="251">
        <f t="shared" si="4"/>
        <v>4531267.5228800774</v>
      </c>
      <c r="M27" s="251">
        <f t="shared" si="4"/>
        <v>4531267.5228800774</v>
      </c>
      <c r="N27" s="251">
        <f t="shared" si="4"/>
        <v>4531267.5228800774</v>
      </c>
    </row>
    <row r="28" spans="1:14">
      <c r="A28" s="1324"/>
      <c r="B28" s="132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1353" t="s">
        <v>47</v>
      </c>
      <c r="B29" s="135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1350" t="s">
        <v>79</v>
      </c>
      <c r="B30" s="1351"/>
      <c r="C30" s="64">
        <f>'03-APU-2014'!D217*5</f>
        <v>62500</v>
      </c>
      <c r="D30" s="64">
        <f>'03-APU-2014'!E217*5</f>
        <v>62500</v>
      </c>
      <c r="E30" s="64">
        <f>'03-APU-2014'!F217*5</f>
        <v>62500</v>
      </c>
      <c r="F30" s="64">
        <f>'03-APU-2014'!G217*5</f>
        <v>62500</v>
      </c>
      <c r="G30" s="64">
        <f>'03-APU-2014'!H217*5</f>
        <v>62500</v>
      </c>
      <c r="H30" s="64">
        <f>'03-APU-2014'!I217*5</f>
        <v>62500</v>
      </c>
      <c r="I30" s="64">
        <f>'03-APU-2014'!J217*5</f>
        <v>62500</v>
      </c>
      <c r="J30" s="64">
        <f>'03-APU-2014'!K217*5</f>
        <v>62500</v>
      </c>
      <c r="K30" s="64">
        <f>'03-APU-2014'!L217*5</f>
        <v>62500</v>
      </c>
      <c r="L30" s="64">
        <f>'03-APU-2014'!M217*5</f>
        <v>62500</v>
      </c>
      <c r="M30" s="64">
        <f>'03-APU-2014'!N217*5</f>
        <v>62500</v>
      </c>
      <c r="N30" s="64">
        <f>'03-APU-2014'!O217*5</f>
        <v>62500</v>
      </c>
    </row>
    <row r="31" spans="1:14">
      <c r="A31" s="1350" t="s">
        <v>80</v>
      </c>
      <c r="B31" s="1351"/>
      <c r="C31" s="64">
        <f>'03-APU-2014'!G218</f>
        <v>112096.10866666665</v>
      </c>
      <c r="D31" s="64">
        <f>C31</f>
        <v>112096.10866666665</v>
      </c>
      <c r="E31" s="64">
        <f>'03-APU-2014'!H218</f>
        <v>112096.10866666665</v>
      </c>
      <c r="F31" s="64">
        <f>E31</f>
        <v>112096.10866666665</v>
      </c>
      <c r="G31" s="64">
        <f>'03-APU-2014'!I218</f>
        <v>112096.10866666665</v>
      </c>
      <c r="H31" s="64">
        <f>G31</f>
        <v>112096.10866666665</v>
      </c>
      <c r="I31" s="64">
        <f>'03-APU-2014'!J218</f>
        <v>112096.10866666665</v>
      </c>
      <c r="J31" s="64">
        <f>I31</f>
        <v>112096.10866666665</v>
      </c>
      <c r="K31" s="64">
        <f>'03-APU-2014'!K218</f>
        <v>112096.10866666665</v>
      </c>
      <c r="L31" s="64">
        <f>K31</f>
        <v>112096.10866666665</v>
      </c>
      <c r="M31" s="64">
        <f>'03-APU-2014'!L218</f>
        <v>112096.10866666665</v>
      </c>
      <c r="N31" s="64">
        <f>M31</f>
        <v>112096.10866666665</v>
      </c>
    </row>
    <row r="32" spans="1:14">
      <c r="A32" s="1350" t="s">
        <v>81</v>
      </c>
      <c r="B32" s="1351"/>
      <c r="C32" s="64">
        <f>'03-APU-2014'!G219</f>
        <v>643274</v>
      </c>
      <c r="D32" s="64">
        <f t="shared" ref="D32:D39" si="5">C32</f>
        <v>643274</v>
      </c>
      <c r="E32" s="64">
        <f>'03-APU-2014'!H219</f>
        <v>643274</v>
      </c>
      <c r="F32" s="64">
        <f t="shared" ref="F32:F39" si="6">E32</f>
        <v>643274</v>
      </c>
      <c r="G32" s="64">
        <f>'03-APU-2014'!I219</f>
        <v>964911</v>
      </c>
      <c r="H32" s="64">
        <f t="shared" ref="H32:H39" si="7">G32</f>
        <v>964911</v>
      </c>
      <c r="I32" s="64">
        <f>'03-APU-2014'!J219</f>
        <v>1286548</v>
      </c>
      <c r="J32" s="64">
        <f t="shared" ref="J32:J39" si="8">I32</f>
        <v>1286548</v>
      </c>
      <c r="K32" s="64">
        <f>'03-APU-2014'!K219</f>
        <v>1286548</v>
      </c>
      <c r="L32" s="64">
        <f t="shared" ref="L32:L39" si="9">K32</f>
        <v>1286548</v>
      </c>
      <c r="M32" s="64">
        <f>'03-APU-2014'!L219</f>
        <v>1286548</v>
      </c>
      <c r="N32" s="64">
        <f t="shared" ref="N32:N39" si="10">M32</f>
        <v>1286548</v>
      </c>
    </row>
    <row r="33" spans="1:14">
      <c r="A33" s="1350" t="s">
        <v>50</v>
      </c>
      <c r="B33" s="1351"/>
      <c r="C33" s="64">
        <f>'03-APU-2014'!D220</f>
        <v>188506</v>
      </c>
      <c r="D33" s="64">
        <f t="shared" si="5"/>
        <v>188506</v>
      </c>
      <c r="E33" s="64">
        <f>'03-APU-2014'!E220</f>
        <v>188506</v>
      </c>
      <c r="F33" s="64">
        <f t="shared" si="6"/>
        <v>188506</v>
      </c>
      <c r="G33" s="64">
        <f>'03-APU-2014'!F220</f>
        <v>188506</v>
      </c>
      <c r="H33" s="64">
        <f t="shared" si="7"/>
        <v>188506</v>
      </c>
      <c r="I33" s="64">
        <f>'03-APU-2014'!G220</f>
        <v>408576.75876240002</v>
      </c>
      <c r="J33" s="64">
        <f t="shared" si="8"/>
        <v>408576.75876240002</v>
      </c>
      <c r="K33" s="64">
        <f>'03-APU-2014'!H220</f>
        <v>672573.48968221399</v>
      </c>
      <c r="L33" s="64">
        <f t="shared" si="9"/>
        <v>672573.48968221399</v>
      </c>
      <c r="M33" s="64">
        <f>'03-APU-2014'!L220</f>
        <v>2945788.9830931202</v>
      </c>
      <c r="N33" s="64">
        <f t="shared" si="10"/>
        <v>2945788.9830931202</v>
      </c>
    </row>
    <row r="34" spans="1:14">
      <c r="A34" s="1350" t="s">
        <v>82</v>
      </c>
      <c r="B34" s="1351"/>
      <c r="C34" s="64">
        <f>'03-APU-2014'!G221</f>
        <v>322273.05143896001</v>
      </c>
      <c r="D34" s="64">
        <f t="shared" si="5"/>
        <v>322273.05143896001</v>
      </c>
      <c r="E34" s="64">
        <f>'03-APU-2014'!H221</f>
        <v>322273.05143896001</v>
      </c>
      <c r="F34" s="64">
        <f t="shared" si="6"/>
        <v>322273.05143896001</v>
      </c>
      <c r="G34" s="64">
        <f>'03-APU-2014'!I221</f>
        <v>483409.57715844002</v>
      </c>
      <c r="H34" s="64">
        <f t="shared" si="7"/>
        <v>483409.57715844002</v>
      </c>
      <c r="I34" s="64">
        <f>'03-APU-2014'!J221</f>
        <v>644546.10287792003</v>
      </c>
      <c r="J34" s="64">
        <f t="shared" si="8"/>
        <v>644546.10287792003</v>
      </c>
      <c r="K34" s="64">
        <f>'03-APU-2014'!K221</f>
        <v>644546.10287792003</v>
      </c>
      <c r="L34" s="64">
        <f t="shared" si="9"/>
        <v>644546.10287792003</v>
      </c>
      <c r="M34" s="64">
        <f>'03-APU-2014'!L221</f>
        <v>644546.10287792003</v>
      </c>
      <c r="N34" s="64">
        <f t="shared" si="10"/>
        <v>644546.10287792003</v>
      </c>
    </row>
    <row r="35" spans="1:14">
      <c r="A35" s="1350" t="s">
        <v>52</v>
      </c>
      <c r="B35" s="1351"/>
      <c r="C35" s="64">
        <f>'03-APU-2014'!D222</f>
        <v>597786.66666666663</v>
      </c>
      <c r="D35" s="64">
        <f t="shared" si="5"/>
        <v>597786.66666666663</v>
      </c>
      <c r="E35" s="64">
        <f>'03-APU-2014'!E222</f>
        <v>597786.66666666663</v>
      </c>
      <c r="F35" s="64">
        <f t="shared" si="6"/>
        <v>597786.66666666663</v>
      </c>
      <c r="G35" s="64">
        <f>'03-APU-2014'!F222</f>
        <v>597786.66666666663</v>
      </c>
      <c r="H35" s="64">
        <f t="shared" si="7"/>
        <v>597786.66666666663</v>
      </c>
      <c r="I35" s="64">
        <f>'03-APU-2014'!G222</f>
        <v>597786.66666666663</v>
      </c>
      <c r="J35" s="64">
        <f t="shared" si="8"/>
        <v>597786.66666666663</v>
      </c>
      <c r="K35" s="64">
        <f>'03-APU-2014'!H222</f>
        <v>597786.66666666663</v>
      </c>
      <c r="L35" s="64">
        <f t="shared" si="9"/>
        <v>597786.66666666663</v>
      </c>
      <c r="M35" s="64">
        <f>'03-APU-2014'!L222</f>
        <v>523160</v>
      </c>
      <c r="N35" s="64">
        <f t="shared" si="10"/>
        <v>523160</v>
      </c>
    </row>
    <row r="36" spans="1:14">
      <c r="A36" s="1350" t="s">
        <v>53</v>
      </c>
      <c r="B36" s="1351"/>
      <c r="C36" s="64">
        <f>'03-APU-2014'!G223*2</f>
        <v>152000</v>
      </c>
      <c r="D36" s="64">
        <f>'03-APU-2014'!H223*2</f>
        <v>152000</v>
      </c>
      <c r="E36" s="64">
        <f>'03-APU-2014'!I223*2</f>
        <v>228000</v>
      </c>
      <c r="F36" s="64">
        <f>'03-APU-2014'!J223*2</f>
        <v>304000</v>
      </c>
      <c r="G36" s="64">
        <f>'03-APU-2014'!I223*1.2</f>
        <v>136800</v>
      </c>
      <c r="H36" s="64">
        <f>G36*1.16</f>
        <v>158688</v>
      </c>
      <c r="I36" s="64">
        <f>'03-APU-2014'!J223*1.06</f>
        <v>161120</v>
      </c>
      <c r="J36" s="64">
        <f>'03-APU-2014'!K223*1.06</f>
        <v>161120</v>
      </c>
      <c r="K36" s="64">
        <f>'03-APU-2014'!L223*1.06</f>
        <v>161120</v>
      </c>
      <c r="L36" s="64">
        <f>'03-APU-2014'!M223*1.06</f>
        <v>161120</v>
      </c>
      <c r="M36" s="64">
        <f>'03-APU-2014'!N223*1.06</f>
        <v>201400</v>
      </c>
      <c r="N36" s="64">
        <f>'03-APU-2014'!O223*1.06</f>
        <v>201400</v>
      </c>
    </row>
    <row r="37" spans="1:14">
      <c r="A37" s="1350" t="s">
        <v>54</v>
      </c>
      <c r="B37" s="1351"/>
      <c r="C37" s="64">
        <f>'03-APU-2014'!G224</f>
        <v>257333.33333333334</v>
      </c>
      <c r="D37" s="64">
        <f t="shared" si="5"/>
        <v>257333.33333333334</v>
      </c>
      <c r="E37" s="64">
        <f>'03-APU-2014'!H224</f>
        <v>273333.33333333331</v>
      </c>
      <c r="F37" s="64">
        <f t="shared" si="6"/>
        <v>273333.33333333331</v>
      </c>
      <c r="G37" s="64">
        <f>'03-APU-2014'!I224</f>
        <v>136666.66666666666</v>
      </c>
      <c r="H37" s="64">
        <f t="shared" si="7"/>
        <v>136666.66666666666</v>
      </c>
      <c r="I37" s="64">
        <f>'03-APU-2014'!J224</f>
        <v>136666.66666666666</v>
      </c>
      <c r="J37" s="64">
        <f t="shared" si="8"/>
        <v>136666.66666666666</v>
      </c>
      <c r="K37" s="64">
        <f>'03-APU-2014'!K224</f>
        <v>136666.66666666666</v>
      </c>
      <c r="L37" s="64">
        <f t="shared" si="9"/>
        <v>136666.66666666666</v>
      </c>
      <c r="M37" s="64">
        <f>'03-APU-2014'!L224</f>
        <v>136666.66666666666</v>
      </c>
      <c r="N37" s="64">
        <f t="shared" si="10"/>
        <v>136666.66666666666</v>
      </c>
    </row>
    <row r="38" spans="1:14">
      <c r="A38" s="1350" t="s">
        <v>83</v>
      </c>
      <c r="B38" s="1351"/>
      <c r="C38" s="64">
        <f>'03-APU-2014'!G225</f>
        <v>206118.19571865443</v>
      </c>
      <c r="D38" s="64">
        <f>C38*1.05</f>
        <v>216424.10550458718</v>
      </c>
      <c r="E38" s="64">
        <f>'03-APU-2014'!H225</f>
        <v>206118.19571865443</v>
      </c>
      <c r="F38" s="64">
        <f t="shared" si="6"/>
        <v>206118.19571865443</v>
      </c>
      <c r="G38" s="64">
        <f>'03-APU-2014'!I225</f>
        <v>206118.19571865443</v>
      </c>
      <c r="H38" s="64">
        <f t="shared" si="7"/>
        <v>206118.19571865443</v>
      </c>
      <c r="I38" s="64">
        <f>'03-APU-2014'!J225</f>
        <v>206118.19571865443</v>
      </c>
      <c r="J38" s="64">
        <f t="shared" si="8"/>
        <v>206118.19571865443</v>
      </c>
      <c r="K38" s="64">
        <f>'03-APU-2014'!K225</f>
        <v>206118.19571865443</v>
      </c>
      <c r="L38" s="64">
        <f t="shared" si="9"/>
        <v>206118.19571865443</v>
      </c>
      <c r="M38" s="64">
        <f>'03-APU-2014'!L225</f>
        <v>206118.19571865443</v>
      </c>
      <c r="N38" s="64">
        <f t="shared" si="10"/>
        <v>206118.19571865443</v>
      </c>
    </row>
    <row r="39" spans="1:14" ht="29.25" customHeight="1">
      <c r="A39" s="1352" t="s">
        <v>84</v>
      </c>
      <c r="B39" s="967"/>
      <c r="C39" s="64">
        <f>'03-APU-2014'!G226</f>
        <v>322273.05143896001</v>
      </c>
      <c r="D39" s="64">
        <f t="shared" si="5"/>
        <v>322273.05143896001</v>
      </c>
      <c r="E39" s="64">
        <f>'03-APU-2014'!H226</f>
        <v>322273.05143896001</v>
      </c>
      <c r="F39" s="64">
        <f t="shared" si="6"/>
        <v>322273.05143896001</v>
      </c>
      <c r="G39" s="64">
        <f>'03-APU-2014'!I226</f>
        <v>483409.57715844002</v>
      </c>
      <c r="H39" s="64">
        <f t="shared" si="7"/>
        <v>483409.57715844002</v>
      </c>
      <c r="I39" s="64">
        <f>'03-APU-2014'!J226</f>
        <v>644546.10287792003</v>
      </c>
      <c r="J39" s="64">
        <f t="shared" si="8"/>
        <v>644546.10287792003</v>
      </c>
      <c r="K39" s="64">
        <f>'03-APU-2014'!K226</f>
        <v>644546.10287792003</v>
      </c>
      <c r="L39" s="64">
        <f t="shared" si="9"/>
        <v>644546.10287792003</v>
      </c>
      <c r="M39" s="64">
        <f>'03-APU-2014'!L226</f>
        <v>644546.10287792003</v>
      </c>
      <c r="N39" s="64">
        <f t="shared" si="10"/>
        <v>644546.10287792003</v>
      </c>
    </row>
    <row r="40" spans="1:14">
      <c r="A40" s="1319"/>
      <c r="B40" s="13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1340" t="s">
        <v>46</v>
      </c>
      <c r="B41" s="1341"/>
      <c r="C41" s="163">
        <f>SUM(C29,C30,C31,C32,C33,C34,C35,C36,C37,C38,C39)</f>
        <v>2864160.4072632408</v>
      </c>
      <c r="D41" s="163">
        <f>SUM(D29,D30,D31,D32,D33,D34,D35,D36,D37,D38,D39)</f>
        <v>2874466.3170491736</v>
      </c>
      <c r="E41" s="163">
        <f>SUM(E29,E30,E31,E32,E33,E34,E35,E36,E37,E38,E39)</f>
        <v>2956160.4072632408</v>
      </c>
      <c r="F41" s="163">
        <f>SUM(F29,F30,F31,F32,F33,F34,F35,F36,F37,F38,F39)</f>
        <v>3032160.4072632408</v>
      </c>
      <c r="G41" s="163">
        <f>SUM(G30:G39)</f>
        <v>3372203.792035534</v>
      </c>
      <c r="H41" s="163">
        <f t="shared" ref="H41:N41" si="11">SUM(H29,H30,H31,H32,H33,H34,H35,H36,H37,H38,H39)</f>
        <v>3394091.792035534</v>
      </c>
      <c r="I41" s="163">
        <f t="shared" si="11"/>
        <v>4260504.6022368949</v>
      </c>
      <c r="J41" s="163">
        <f t="shared" si="11"/>
        <v>4260504.6022368949</v>
      </c>
      <c r="K41" s="163">
        <f t="shared" si="11"/>
        <v>4524501.3331567086</v>
      </c>
      <c r="L41" s="163">
        <f t="shared" si="11"/>
        <v>4524501.3331567086</v>
      </c>
      <c r="M41" s="163">
        <f t="shared" si="11"/>
        <v>6763370.1599009484</v>
      </c>
      <c r="N41" s="163">
        <f t="shared" si="11"/>
        <v>6763370.1599009484</v>
      </c>
    </row>
    <row r="42" spans="1:14">
      <c r="A42" s="1348"/>
      <c r="B42" s="1349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</row>
    <row r="43" spans="1:14">
      <c r="A43" s="1346" t="s">
        <v>57</v>
      </c>
      <c r="B43" s="1347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</row>
    <row r="44" spans="1:14">
      <c r="A44" s="1007" t="s">
        <v>85</v>
      </c>
      <c r="B44" s="1152"/>
      <c r="C44" s="64">
        <f>'03-APU-2014'!D13</f>
        <v>1306350.2762524625</v>
      </c>
      <c r="D44" s="64">
        <f>C44*1.01</f>
        <v>1319413.7790149872</v>
      </c>
      <c r="E44" s="64">
        <f>'03-APU-2014'!E13*1.015</f>
        <v>1325945.5303962494</v>
      </c>
      <c r="F44" s="64">
        <f>E44*1.015</f>
        <v>1345834.7133521929</v>
      </c>
      <c r="G44" s="64">
        <f>'03-APU-2014'!F13*1.08</f>
        <v>1410858.2983526597</v>
      </c>
      <c r="H44" s="64">
        <f>G44*1.08</f>
        <v>1523726.9622208725</v>
      </c>
      <c r="I44" s="64">
        <f>'03-APU-2014'!G13*1.15</f>
        <v>1502302.8176903317</v>
      </c>
      <c r="J44" s="64">
        <f>I44*1.02</f>
        <v>1532348.8740441385</v>
      </c>
      <c r="K44" s="64">
        <f>'03-APU-2014'!H13*1.2</f>
        <v>1567620.3315029549</v>
      </c>
      <c r="L44" s="64">
        <f>K44*1.02</f>
        <v>1598972.7381330142</v>
      </c>
      <c r="M44" s="64">
        <f>'03-APU-2014'!I13</f>
        <v>1959525.414378694</v>
      </c>
      <c r="N44" s="64">
        <f>M44*1.01</f>
        <v>1979120.6685224809</v>
      </c>
    </row>
    <row r="45" spans="1:14">
      <c r="A45" s="1348"/>
      <c r="B45" s="1349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</row>
    <row r="46" spans="1:14">
      <c r="A46" s="1340" t="s">
        <v>12</v>
      </c>
      <c r="B46" s="1341"/>
      <c r="C46" s="163">
        <f>C44</f>
        <v>1306350.2762524625</v>
      </c>
      <c r="D46" s="163">
        <f t="shared" ref="D46:N46" si="12">D44</f>
        <v>1319413.7790149872</v>
      </c>
      <c r="E46" s="163">
        <f t="shared" si="12"/>
        <v>1325945.5303962494</v>
      </c>
      <c r="F46" s="163">
        <f t="shared" si="12"/>
        <v>1345834.7133521929</v>
      </c>
      <c r="G46" s="163">
        <f t="shared" si="12"/>
        <v>1410858.2983526597</v>
      </c>
      <c r="H46" s="163">
        <f t="shared" si="12"/>
        <v>1523726.9622208725</v>
      </c>
      <c r="I46" s="163">
        <f t="shared" si="12"/>
        <v>1502302.8176903317</v>
      </c>
      <c r="J46" s="163">
        <f t="shared" si="12"/>
        <v>1532348.8740441385</v>
      </c>
      <c r="K46" s="163">
        <f t="shared" si="12"/>
        <v>1567620.3315029549</v>
      </c>
      <c r="L46" s="163">
        <f t="shared" si="12"/>
        <v>1598972.7381330142</v>
      </c>
      <c r="M46" s="163">
        <f t="shared" si="12"/>
        <v>1959525.414378694</v>
      </c>
      <c r="N46" s="163">
        <f t="shared" si="12"/>
        <v>1979120.6685224809</v>
      </c>
    </row>
    <row r="47" spans="1:14">
      <c r="A47" s="1348"/>
      <c r="B47" s="1349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</row>
    <row r="48" spans="1:14">
      <c r="A48" s="1346" t="s">
        <v>60</v>
      </c>
      <c r="B48" s="1347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spans="1:17">
      <c r="A49" s="1007" t="s">
        <v>61</v>
      </c>
      <c r="B49" s="1152"/>
      <c r="C49" s="425">
        <f>'03-APU-2014'!D210*$B$97</f>
        <v>132970.7938942872</v>
      </c>
      <c r="D49" s="425">
        <f>C49</f>
        <v>132970.7938942872</v>
      </c>
      <c r="E49" s="64">
        <f>'03-APU-2014'!H210</f>
        <v>198261.75775074653</v>
      </c>
      <c r="F49" s="64">
        <f>E49</f>
        <v>198261.75775074653</v>
      </c>
      <c r="G49" s="64">
        <f>'03-APU-2014'!I210</f>
        <v>198261.75775074653</v>
      </c>
      <c r="H49" s="64">
        <f>G49</f>
        <v>198261.75775074653</v>
      </c>
      <c r="I49" s="64">
        <f>'03-APU-2014'!J210</f>
        <v>198261.75775074653</v>
      </c>
      <c r="J49" s="64">
        <f>I49</f>
        <v>198261.75775074653</v>
      </c>
      <c r="K49" s="64">
        <f>'03-APU-2014'!K210</f>
        <v>198261.75775074653</v>
      </c>
      <c r="L49" s="64">
        <f>K49</f>
        <v>198261.75775074653</v>
      </c>
      <c r="M49" s="64">
        <f>'03-APU-2014'!L210</f>
        <v>198261.75775074653</v>
      </c>
      <c r="N49" s="64">
        <f>M49</f>
        <v>198261.75775074653</v>
      </c>
    </row>
    <row r="50" spans="1:17">
      <c r="A50" s="1348"/>
      <c r="B50" s="1349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</row>
    <row r="51" spans="1:17">
      <c r="A51" s="1340" t="s">
        <v>46</v>
      </c>
      <c r="B51" s="1341"/>
      <c r="C51" s="163">
        <f>C49</f>
        <v>132970.7938942872</v>
      </c>
      <c r="D51" s="163">
        <f t="shared" ref="D51:N51" si="13">D49</f>
        <v>132970.7938942872</v>
      </c>
      <c r="E51" s="163">
        <f t="shared" si="13"/>
        <v>198261.75775074653</v>
      </c>
      <c r="F51" s="163">
        <f t="shared" si="13"/>
        <v>198261.75775074653</v>
      </c>
      <c r="G51" s="163">
        <f t="shared" si="13"/>
        <v>198261.75775074653</v>
      </c>
      <c r="H51" s="163">
        <f t="shared" si="13"/>
        <v>198261.75775074653</v>
      </c>
      <c r="I51" s="163">
        <f t="shared" si="13"/>
        <v>198261.75775074653</v>
      </c>
      <c r="J51" s="163">
        <f t="shared" si="13"/>
        <v>198261.75775074653</v>
      </c>
      <c r="K51" s="163">
        <f t="shared" si="13"/>
        <v>198261.75775074653</v>
      </c>
      <c r="L51" s="163">
        <f t="shared" si="13"/>
        <v>198261.75775074653</v>
      </c>
      <c r="M51" s="163">
        <f t="shared" si="13"/>
        <v>198261.75775074653</v>
      </c>
      <c r="N51" s="163">
        <f t="shared" si="13"/>
        <v>198261.75775074653</v>
      </c>
    </row>
    <row r="52" spans="1:17">
      <c r="A52" s="1319"/>
      <c r="B52" s="1320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7">
      <c r="A53" s="1346" t="s">
        <v>62</v>
      </c>
      <c r="B53" s="1347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</row>
    <row r="54" spans="1:17">
      <c r="A54" s="1007" t="s">
        <v>70</v>
      </c>
      <c r="B54" s="1152"/>
      <c r="C54" s="425">
        <f>'03-APU-2014'!D195*B98</f>
        <v>4972800</v>
      </c>
      <c r="D54" s="425">
        <f>C54</f>
        <v>4972800</v>
      </c>
      <c r="E54" s="64">
        <f>'03-APU-2014'!E195</f>
        <v>5142000</v>
      </c>
      <c r="F54" s="64">
        <f>E54</f>
        <v>5142000</v>
      </c>
      <c r="G54" s="64">
        <f>'03-APU-2014'!F195</f>
        <v>5515788.6999999993</v>
      </c>
      <c r="H54" s="64">
        <f>G54</f>
        <v>5515788.6999999993</v>
      </c>
      <c r="I54" s="64">
        <f>'03-APU-2014'!G195*B105</f>
        <v>6192019.6799999997</v>
      </c>
      <c r="J54" s="64">
        <f>I54</f>
        <v>6192019.6799999997</v>
      </c>
      <c r="K54" s="64">
        <f>'03-APU-2014'!H195*B104</f>
        <v>7551705</v>
      </c>
      <c r="L54" s="64">
        <f>K54</f>
        <v>7551705</v>
      </c>
      <c r="M54" s="64">
        <f>'03-APU-2014'!I195</f>
        <v>13590000</v>
      </c>
      <c r="N54" s="64">
        <f>M54</f>
        <v>13590000</v>
      </c>
    </row>
    <row r="55" spans="1:17" s="25" customFormat="1">
      <c r="A55" s="1350" t="s">
        <v>71</v>
      </c>
      <c r="B55" s="1351"/>
      <c r="C55" s="425">
        <f>'03-APU-2014'!D359</f>
        <v>0</v>
      </c>
      <c r="D55" s="425">
        <f>'03-APU-2014'!D356</f>
        <v>0</v>
      </c>
      <c r="E55" s="425">
        <f>'03-APU-2014'!E356</f>
        <v>0</v>
      </c>
      <c r="F55" s="425">
        <f>'03-APU-2014'!E359</f>
        <v>0</v>
      </c>
      <c r="G55" s="425">
        <f>'03-APU-2014'!F356</f>
        <v>0</v>
      </c>
      <c r="H55" s="425">
        <f>'03-APU-2014'!F359</f>
        <v>0</v>
      </c>
      <c r="I55" s="425">
        <f>K55</f>
        <v>2755051.2982996223</v>
      </c>
      <c r="J55" s="425">
        <f>I55</f>
        <v>2755051.2982996223</v>
      </c>
      <c r="K55" s="425">
        <f>'03-APU-2014'!G356</f>
        <v>2755051.2982996223</v>
      </c>
      <c r="L55" s="425">
        <f>K55</f>
        <v>2755051.2982996223</v>
      </c>
      <c r="M55" s="425">
        <f>'03-APU-2014'!I356</f>
        <v>3243529.6705971505</v>
      </c>
      <c r="N55" s="425">
        <f>'03-APU-2014'!I359</f>
        <v>6584920.0621423023</v>
      </c>
    </row>
    <row r="56" spans="1:17">
      <c r="A56" s="1319"/>
      <c r="B56" s="1320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7">
      <c r="A57" s="1340" t="s">
        <v>12</v>
      </c>
      <c r="B57" s="1341"/>
      <c r="C57" s="163">
        <f>SUM(C54:C56)</f>
        <v>4972800</v>
      </c>
      <c r="D57" s="163">
        <f t="shared" ref="D57:N57" si="14">SUM(D54:D56)</f>
        <v>4972800</v>
      </c>
      <c r="E57" s="163">
        <f t="shared" si="14"/>
        <v>5142000</v>
      </c>
      <c r="F57" s="163">
        <f t="shared" si="14"/>
        <v>5142000</v>
      </c>
      <c r="G57" s="163">
        <f t="shared" si="14"/>
        <v>5515788.6999999993</v>
      </c>
      <c r="H57" s="163">
        <f t="shared" si="14"/>
        <v>5515788.6999999993</v>
      </c>
      <c r="I57" s="163">
        <f t="shared" si="14"/>
        <v>8947070.9782996215</v>
      </c>
      <c r="J57" s="163">
        <f t="shared" si="14"/>
        <v>8947070.9782996215</v>
      </c>
      <c r="K57" s="163">
        <f t="shared" si="14"/>
        <v>10306756.298299622</v>
      </c>
      <c r="L57" s="163">
        <f t="shared" si="14"/>
        <v>10306756.298299622</v>
      </c>
      <c r="M57" s="163">
        <f t="shared" si="14"/>
        <v>16833529.670597151</v>
      </c>
      <c r="N57" s="163">
        <f t="shared" si="14"/>
        <v>20174920.062142301</v>
      </c>
    </row>
    <row r="58" spans="1:17" ht="15.75" thickBot="1">
      <c r="A58" s="1342"/>
      <c r="B58" s="1343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7" ht="16.5" thickTop="1" thickBot="1">
      <c r="A59" s="1344" t="s">
        <v>86</v>
      </c>
      <c r="B59" s="1345"/>
      <c r="C59" s="256">
        <f>SUM(C57,C51,C46,C41,C27)</f>
        <v>13468689.612391617</v>
      </c>
      <c r="D59" s="256">
        <f>SUM(D27,D41,D46,D51,D57)</f>
        <v>13492059.024940073</v>
      </c>
      <c r="E59" s="256">
        <f>SUM(E57,E51,E46,E41,E27)</f>
        <v>13814775.830391863</v>
      </c>
      <c r="F59" s="256">
        <f>SUM(F27,F41,F46,F51,F57)</f>
        <v>13910665.013347806</v>
      </c>
      <c r="G59" s="256">
        <f>SUM(G57,G51,G46,G41,G27)</f>
        <v>14689520.683120565</v>
      </c>
      <c r="H59" s="256">
        <f>SUM(H27,H41,H46,H51,H57)</f>
        <v>14558591.073590849</v>
      </c>
      <c r="I59" s="256">
        <f>SUM(I57,I51,I46,I41,I27)</f>
        <v>19439407.678857669</v>
      </c>
      <c r="J59" s="256">
        <f>SUM(J27,J41,J46,J51,J57)</f>
        <v>19469453.735211477</v>
      </c>
      <c r="K59" s="256">
        <f>SUM(K57,K51,K46,K41,K27)</f>
        <v>21128407.243590109</v>
      </c>
      <c r="L59" s="256">
        <f>SUM(L27,L41,L46,L51,L57)</f>
        <v>21159759.650220167</v>
      </c>
      <c r="M59" s="256">
        <f>SUM(M57,M51,M46,M41,M27)</f>
        <v>30285954.525507618</v>
      </c>
      <c r="N59" s="256">
        <f>SUM(N27,N41,N46,N51,N57)</f>
        <v>33646940.17119655</v>
      </c>
    </row>
    <row r="60" spans="1:17" ht="15.75" thickTop="1">
      <c r="A60" s="1338" t="s">
        <v>72</v>
      </c>
      <c r="B60" s="1339"/>
      <c r="C60" s="1336">
        <f>(C59+D59)/2</f>
        <v>13480374.318665845</v>
      </c>
      <c r="D60" s="1337"/>
      <c r="E60" s="1336">
        <f>(E59+F59)/2</f>
        <v>13862720.421869835</v>
      </c>
      <c r="F60" s="1337"/>
      <c r="G60" s="1336">
        <f>(G59+H59)/2</f>
        <v>14624055.878355708</v>
      </c>
      <c r="H60" s="1337"/>
      <c r="I60" s="1336">
        <f>(I59+J59)/2</f>
        <v>19454430.707034573</v>
      </c>
      <c r="J60" s="1337"/>
      <c r="K60" s="1336">
        <f>(K59+L59)/2</f>
        <v>21144083.446905136</v>
      </c>
      <c r="L60" s="1337"/>
      <c r="M60" s="1336">
        <f>(M59+N59)/2</f>
        <v>31966447.348352082</v>
      </c>
      <c r="N60" s="1337"/>
      <c r="Q60" s="668"/>
    </row>
    <row r="61" spans="1:17">
      <c r="A61" s="1324"/>
      <c r="B61" s="1325"/>
      <c r="C61" s="1324"/>
      <c r="D61" s="1325"/>
      <c r="E61" s="1324"/>
      <c r="F61" s="1325"/>
      <c r="G61" s="1324"/>
      <c r="H61" s="1325"/>
      <c r="I61" s="1324"/>
      <c r="J61" s="1325"/>
      <c r="K61" s="1324"/>
      <c r="L61" s="1325"/>
      <c r="M61" s="1324"/>
      <c r="N61" s="1325"/>
    </row>
    <row r="62" spans="1:17">
      <c r="A62" s="1334" t="s">
        <v>66</v>
      </c>
      <c r="B62" s="1335"/>
      <c r="C62" s="1332">
        <f>'05-ED-2014'!C14</f>
        <v>10185647.034297025</v>
      </c>
      <c r="D62" s="1333"/>
      <c r="E62" s="1332">
        <f>'05-ED-2014'!D14</f>
        <v>17203924.379751571</v>
      </c>
      <c r="F62" s="1333"/>
      <c r="G62" s="1332">
        <f>'05-ED-2014'!E14</f>
        <v>17229432.779751569</v>
      </c>
      <c r="H62" s="1333"/>
      <c r="I62" s="1332">
        <f>'05-ED-2014'!G14</f>
        <v>18664701.416697025</v>
      </c>
      <c r="J62" s="1333"/>
      <c r="K62" s="1332">
        <f>'05-ED-2014'!G14</f>
        <v>18664701.416697025</v>
      </c>
      <c r="L62" s="1333"/>
      <c r="M62" s="1332">
        <f>'05-ED-2014'!H14</f>
        <v>19598678.339897022</v>
      </c>
      <c r="N62" s="1333"/>
    </row>
    <row r="63" spans="1:17">
      <c r="A63" s="1324"/>
      <c r="B63" s="1325"/>
      <c r="C63" s="1324"/>
      <c r="D63" s="1325"/>
      <c r="E63" s="1324"/>
      <c r="F63" s="1325"/>
      <c r="G63" s="1324"/>
      <c r="H63" s="1325"/>
      <c r="I63" s="1324"/>
      <c r="J63" s="1325"/>
      <c r="K63" s="1324"/>
      <c r="L63" s="1325"/>
      <c r="M63" s="1324"/>
      <c r="N63" s="1325"/>
    </row>
    <row r="64" spans="1:17">
      <c r="A64" s="229" t="s">
        <v>365</v>
      </c>
      <c r="B64" s="255">
        <v>0.1</v>
      </c>
      <c r="C64" s="1373">
        <f>SUM(C60,C62)*$B$64</f>
        <v>2366602.135296287</v>
      </c>
      <c r="D64" s="1374"/>
      <c r="E64" s="1373">
        <f>SUM(E60,E62)*$B$64</f>
        <v>3106664.4801621409</v>
      </c>
      <c r="F64" s="1374"/>
      <c r="G64" s="1373">
        <f>SUM(G60,G62)*$B$64</f>
        <v>3185348.8658107277</v>
      </c>
      <c r="H64" s="1374"/>
      <c r="I64" s="1373">
        <f>SUM(I60,I62)*$B$64</f>
        <v>3811913.2123731598</v>
      </c>
      <c r="J64" s="1374"/>
      <c r="K64" s="1373">
        <f>SUM(K60,K62)*$B$64</f>
        <v>3980878.4863602165</v>
      </c>
      <c r="L64" s="1374"/>
      <c r="M64" s="1373">
        <f>SUM(M60,M62)*$B$64</f>
        <v>5156512.5688249106</v>
      </c>
      <c r="N64" s="1374"/>
    </row>
    <row r="65" spans="1:14" s="57" customFormat="1">
      <c r="A65" s="229" t="s">
        <v>439</v>
      </c>
      <c r="B65" s="255">
        <v>0.1</v>
      </c>
      <c r="C65" s="1373">
        <f>SUM(C62,C60)*$B$65</f>
        <v>2366602.135296287</v>
      </c>
      <c r="D65" s="1374"/>
      <c r="E65" s="1373">
        <f>SUM(E60,E62)*$B$65</f>
        <v>3106664.4801621409</v>
      </c>
      <c r="F65" s="1374"/>
      <c r="G65" s="1373">
        <f>SUM(G60,G62)*$B$65</f>
        <v>3185348.8658107277</v>
      </c>
      <c r="H65" s="1374"/>
      <c r="I65" s="1373">
        <f>SUM(I60,I62)*$B$65</f>
        <v>3811913.2123731598</v>
      </c>
      <c r="J65" s="1374"/>
      <c r="K65" s="1373">
        <f>SUM(K60,K62)*$B$65</f>
        <v>3980878.4863602165</v>
      </c>
      <c r="L65" s="1374"/>
      <c r="M65" s="1373">
        <f>SUM(M60,M62)*$B$65</f>
        <v>5156512.5688249106</v>
      </c>
      <c r="N65" s="1374"/>
    </row>
    <row r="66" spans="1:14">
      <c r="A66" s="229" t="s">
        <v>440</v>
      </c>
      <c r="B66" s="255">
        <v>0.05</v>
      </c>
      <c r="C66" s="1373">
        <f>SUM(C62,C60)*$B$66</f>
        <v>1183301.0676481435</v>
      </c>
      <c r="D66" s="1374"/>
      <c r="E66" s="1373">
        <f>SUM(E60,E62)*$B$66</f>
        <v>1553332.2400810705</v>
      </c>
      <c r="F66" s="1374"/>
      <c r="G66" s="1373">
        <f>SUM(G60,G62)*$B$66</f>
        <v>1592674.4329053639</v>
      </c>
      <c r="H66" s="1374"/>
      <c r="I66" s="1373">
        <f>SUM(I60,I62)*$B$66</f>
        <v>1905956.6061865799</v>
      </c>
      <c r="J66" s="1374"/>
      <c r="K66" s="1373">
        <f>SUM(K60,K62)*$B$66</f>
        <v>1990439.2431801083</v>
      </c>
      <c r="L66" s="1374"/>
      <c r="M66" s="1373">
        <f>SUM(M60,M62)*$B$66</f>
        <v>2578256.2844124553</v>
      </c>
      <c r="N66" s="1374"/>
    </row>
    <row r="67" spans="1:14">
      <c r="A67" s="229" t="s">
        <v>445</v>
      </c>
      <c r="B67" s="255">
        <v>0.16</v>
      </c>
      <c r="C67" s="1373">
        <f>SUM(C66*B67)</f>
        <v>189328.17082370297</v>
      </c>
      <c r="D67" s="1374"/>
      <c r="E67" s="1373">
        <f>E66*B67</f>
        <v>248533.15841297127</v>
      </c>
      <c r="F67" s="1374"/>
      <c r="G67" s="1373">
        <f>G66*B67</f>
        <v>254827.90926485823</v>
      </c>
      <c r="H67" s="1374"/>
      <c r="I67" s="1373">
        <f>I66*B67</f>
        <v>304953.0569898528</v>
      </c>
      <c r="J67" s="1374"/>
      <c r="K67" s="1373">
        <f>K66*B67</f>
        <v>318470.27890881733</v>
      </c>
      <c r="L67" s="1374"/>
      <c r="M67" s="1373">
        <f>M66*B67</f>
        <v>412521.00550599286</v>
      </c>
      <c r="N67" s="1374"/>
    </row>
    <row r="68" spans="1:14">
      <c r="A68" s="1383" t="s">
        <v>13</v>
      </c>
      <c r="B68" s="1384"/>
      <c r="C68" s="1328">
        <f>'05-ED-2014'!C22*B99</f>
        <v>4554422.6851991471</v>
      </c>
      <c r="D68" s="1329"/>
      <c r="E68" s="1328">
        <f>'05-ED-2014'!D22*B99</f>
        <v>5371647.1304068575</v>
      </c>
      <c r="F68" s="1329"/>
      <c r="G68" s="1328">
        <f>'05-ED-2014'!E22*B101</f>
        <v>5407895.0072027287</v>
      </c>
      <c r="H68" s="1329"/>
      <c r="I68" s="1328">
        <f>'05-ED-2014'!F22*B100</f>
        <v>5643575.9162112549</v>
      </c>
      <c r="J68" s="1329"/>
      <c r="K68" s="1328">
        <f>'05-ED-2014'!G22*B103</f>
        <v>6197498.3839425305</v>
      </c>
      <c r="L68" s="1329"/>
      <c r="M68" s="1322">
        <f>'05-ED-2014'!H22*B102</f>
        <v>7200327.3817510381</v>
      </c>
      <c r="N68" s="1323"/>
    </row>
    <row r="69" spans="1:14">
      <c r="A69" s="1324"/>
      <c r="B69" s="1325"/>
      <c r="C69" s="1324"/>
      <c r="D69" s="1325"/>
      <c r="E69" s="1324"/>
      <c r="F69" s="1325"/>
      <c r="G69" s="1324"/>
      <c r="H69" s="1325"/>
      <c r="I69" s="1324"/>
      <c r="J69" s="1325"/>
      <c r="K69" s="1324"/>
      <c r="L69" s="1325"/>
      <c r="M69" s="1324"/>
      <c r="N69" s="1325"/>
    </row>
    <row r="70" spans="1:14">
      <c r="A70" s="229" t="s">
        <v>365</v>
      </c>
      <c r="B70" s="255">
        <v>0.1</v>
      </c>
      <c r="C70" s="1373">
        <f>SUM(C60,C68)*$B$70</f>
        <v>1803479.7003864993</v>
      </c>
      <c r="D70" s="1374"/>
      <c r="E70" s="1373">
        <f>SUM(E60,E68)*$B$70</f>
        <v>1923436.7552276694</v>
      </c>
      <c r="F70" s="1374"/>
      <c r="G70" s="1373">
        <f>SUM(G60,G68)*$B$70</f>
        <v>2003195.0885558438</v>
      </c>
      <c r="H70" s="1374"/>
      <c r="I70" s="1373">
        <f>SUM(I60,I68)*$B$70</f>
        <v>2509800.6623245827</v>
      </c>
      <c r="J70" s="1374"/>
      <c r="K70" s="1373">
        <f>SUM(K60,K68)*$B$70</f>
        <v>2734158.1830847668</v>
      </c>
      <c r="L70" s="1374"/>
      <c r="M70" s="1373">
        <f>SUM(M60,M68)*$B$70</f>
        <v>3916677.4730103123</v>
      </c>
      <c r="N70" s="1374"/>
    </row>
    <row r="71" spans="1:14" s="57" customFormat="1">
      <c r="A71" s="229" t="s">
        <v>439</v>
      </c>
      <c r="B71" s="255">
        <v>0.1</v>
      </c>
      <c r="C71" s="1373">
        <f>SUM(C68,C60)*$B$71</f>
        <v>1803479.7003864993</v>
      </c>
      <c r="D71" s="1374"/>
      <c r="E71" s="1373">
        <f>SUM(E68,E60)*$B$71</f>
        <v>1923436.7552276694</v>
      </c>
      <c r="F71" s="1374"/>
      <c r="G71" s="1373">
        <f>SUM(G68,G60)*$B$71</f>
        <v>2003195.0885558438</v>
      </c>
      <c r="H71" s="1374"/>
      <c r="I71" s="1373">
        <f>SUM(I68,I60)*$B$71</f>
        <v>2509800.6623245827</v>
      </c>
      <c r="J71" s="1374"/>
      <c r="K71" s="1373">
        <f>SUM(K68,K60)*$B$71</f>
        <v>2734158.1830847668</v>
      </c>
      <c r="L71" s="1374"/>
      <c r="M71" s="1373">
        <f>SUM(M68,M60)*$B$71</f>
        <v>3916677.4730103123</v>
      </c>
      <c r="N71" s="1374"/>
    </row>
    <row r="72" spans="1:14">
      <c r="A72" s="229" t="s">
        <v>440</v>
      </c>
      <c r="B72" s="255">
        <v>0.05</v>
      </c>
      <c r="C72" s="1373">
        <f>SUM(C68,C60)*$B$72</f>
        <v>901739.85019324964</v>
      </c>
      <c r="D72" s="1374"/>
      <c r="E72" s="1373">
        <f>SUM(E68,E60)*$B$72</f>
        <v>961718.37761383469</v>
      </c>
      <c r="F72" s="1374"/>
      <c r="G72" s="1373">
        <f>SUM(G68,G60)*$B$72</f>
        <v>1001597.5442779219</v>
      </c>
      <c r="H72" s="1374"/>
      <c r="I72" s="1373">
        <f>SUM(I68,I60)*$B$72</f>
        <v>1254900.3311622913</v>
      </c>
      <c r="J72" s="1374"/>
      <c r="K72" s="1373">
        <f>SUM(K68,K60)*$B$72</f>
        <v>1367079.0915423834</v>
      </c>
      <c r="L72" s="1374"/>
      <c r="M72" s="1373">
        <f>SUM(M68,M60)*$B$72</f>
        <v>1958338.7365051562</v>
      </c>
      <c r="N72" s="1374"/>
    </row>
    <row r="73" spans="1:14">
      <c r="A73" s="229" t="s">
        <v>445</v>
      </c>
      <c r="B73" s="255">
        <v>0.16</v>
      </c>
      <c r="C73" s="1373">
        <f>SUM(C72*B73)</f>
        <v>144278.37603091996</v>
      </c>
      <c r="D73" s="1374"/>
      <c r="E73" s="1373">
        <f>E72*B73</f>
        <v>153874.94041821355</v>
      </c>
      <c r="F73" s="1374"/>
      <c r="G73" s="1373">
        <f>G72*B73</f>
        <v>160255.60708446751</v>
      </c>
      <c r="H73" s="1374"/>
      <c r="I73" s="1373">
        <f>I72*B73</f>
        <v>200784.05298596661</v>
      </c>
      <c r="J73" s="1374"/>
      <c r="K73" s="1373">
        <f>K72*B73</f>
        <v>218732.65464678136</v>
      </c>
      <c r="L73" s="1374"/>
      <c r="M73" s="1373">
        <f>M72*B73</f>
        <v>313334.19784082501</v>
      </c>
      <c r="N73" s="1374"/>
    </row>
    <row r="74" spans="1:14" ht="15.75" thickBot="1">
      <c r="A74" s="1381"/>
      <c r="B74" s="1382"/>
      <c r="C74" s="1321"/>
      <c r="D74" s="900"/>
      <c r="E74" s="1324"/>
      <c r="F74" s="1325"/>
      <c r="G74" s="1324"/>
      <c r="H74" s="1325"/>
      <c r="I74" s="1324"/>
      <c r="J74" s="1325"/>
      <c r="K74" s="1324"/>
      <c r="L74" s="1325"/>
      <c r="M74" s="1324"/>
      <c r="N74" s="1325"/>
    </row>
    <row r="75" spans="1:14" ht="24" customHeight="1" thickBot="1">
      <c r="A75" s="1379" t="s">
        <v>87</v>
      </c>
      <c r="B75" s="1380"/>
      <c r="C75" s="794"/>
      <c r="D75" s="802">
        <f>SUM(C60,C62,C64:D67)</f>
        <v>29771854.862027291</v>
      </c>
      <c r="E75" s="794"/>
      <c r="F75" s="802">
        <f>SUM(E60,E62,E64:F67)</f>
        <v>39081839.160439737</v>
      </c>
      <c r="G75" s="794"/>
      <c r="H75" s="802">
        <f>SUM(G60,G62,G64:H67)</f>
        <v>40071688.731898949</v>
      </c>
      <c r="I75" s="794"/>
      <c r="J75" s="802">
        <f>SUM(I60,I62,I64:J67)</f>
        <v>47953868.211654358</v>
      </c>
      <c r="K75" s="794"/>
      <c r="L75" s="802">
        <f>SUM(K60,K62,K64:L67)</f>
        <v>50079451.358411521</v>
      </c>
      <c r="M75" s="794"/>
      <c r="N75" s="802">
        <f>SUM(M60,M62,M64:N67)</f>
        <v>64868928.115817375</v>
      </c>
    </row>
    <row r="76" spans="1:14" ht="24" customHeight="1" thickBot="1">
      <c r="A76" s="1379" t="s">
        <v>88</v>
      </c>
      <c r="B76" s="1380"/>
      <c r="C76" s="794"/>
      <c r="D76" s="802">
        <f>SUM(C60,C68,C70:D73)</f>
        <v>22687774.630862158</v>
      </c>
      <c r="E76" s="794"/>
      <c r="F76" s="802">
        <f>SUM(E60,E68,E70:F73)</f>
        <v>24196834.380764082</v>
      </c>
      <c r="G76" s="794"/>
      <c r="H76" s="802">
        <f>SUM(G60,G68,G70:H73)</f>
        <v>25200194.214032512</v>
      </c>
      <c r="I76" s="794"/>
      <c r="J76" s="802">
        <f>SUM(I60,I68,I70:J73)</f>
        <v>31573292.332043249</v>
      </c>
      <c r="K76" s="794"/>
      <c r="L76" s="802">
        <f>SUM(K60,K68,K70:L73)</f>
        <v>34395709.94320637</v>
      </c>
      <c r="M76" s="794"/>
      <c r="N76" s="802">
        <f>SUM(M60,M68,M70:N73)</f>
        <v>49271802.610469721</v>
      </c>
    </row>
    <row r="78" spans="1:14">
      <c r="A78" s="169" t="s">
        <v>93</v>
      </c>
      <c r="B78" s="170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80" spans="1:14">
      <c r="A80" s="10" t="s">
        <v>73</v>
      </c>
      <c r="B80" s="20"/>
    </row>
    <row r="81" spans="1:14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</row>
    <row r="82" spans="1:14">
      <c r="A82" s="11" t="s">
        <v>94</v>
      </c>
      <c r="B82" s="299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</row>
    <row r="83" spans="1:14">
      <c r="A83" s="291"/>
      <c r="B83" s="291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</row>
    <row r="84" spans="1:14">
      <c r="A84" s="12" t="s">
        <v>74</v>
      </c>
      <c r="B84" s="23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</row>
    <row r="85" spans="1:14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</row>
    <row r="86" spans="1:14">
      <c r="A86" s="13" t="s">
        <v>95</v>
      </c>
      <c r="B86" s="21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</row>
    <row r="87" spans="1:14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</row>
    <row r="88" spans="1:14">
      <c r="A88" s="293" t="s">
        <v>96</v>
      </c>
      <c r="B88" s="293"/>
      <c r="C88" s="293"/>
      <c r="D88" s="293"/>
      <c r="E88" s="293"/>
      <c r="F88" s="293"/>
      <c r="G88" s="293"/>
      <c r="H88" s="293"/>
      <c r="I88" s="293"/>
      <c r="J88" s="293"/>
      <c r="K88" s="57"/>
      <c r="L88" s="57"/>
      <c r="M88" s="57"/>
      <c r="N88" s="57"/>
    </row>
    <row r="89" spans="1:14">
      <c r="A89" s="293"/>
      <c r="B89" s="293"/>
      <c r="C89" s="293"/>
      <c r="D89" s="293"/>
      <c r="E89" s="293"/>
      <c r="F89" s="293"/>
      <c r="G89" s="293"/>
      <c r="H89" s="293"/>
      <c r="I89" s="293"/>
      <c r="J89" s="293"/>
      <c r="K89" s="57"/>
      <c r="L89" s="57"/>
      <c r="M89" s="57"/>
      <c r="N89" s="57"/>
    </row>
    <row r="90" spans="1:14">
      <c r="A90" s="293" t="s">
        <v>97</v>
      </c>
      <c r="B90" s="293"/>
      <c r="C90" s="293"/>
      <c r="D90" s="293"/>
      <c r="E90" s="293"/>
      <c r="F90" s="293"/>
      <c r="G90" s="293"/>
      <c r="H90" s="293"/>
      <c r="I90" s="293"/>
      <c r="J90" s="293"/>
      <c r="K90" s="57"/>
      <c r="L90" s="57"/>
      <c r="M90" s="57"/>
      <c r="N90" s="57"/>
    </row>
    <row r="91" spans="1:14">
      <c r="A91" s="293"/>
      <c r="B91" s="293"/>
      <c r="C91" s="293"/>
      <c r="D91" s="293"/>
      <c r="E91" s="293"/>
      <c r="F91" s="293"/>
      <c r="G91" s="293"/>
      <c r="H91" s="293"/>
      <c r="I91" s="293"/>
      <c r="J91" s="293"/>
      <c r="K91" s="57"/>
      <c r="L91" s="57"/>
      <c r="M91" s="57"/>
      <c r="N91" s="57"/>
    </row>
    <row r="92" spans="1:14">
      <c r="A92" s="293" t="s">
        <v>98</v>
      </c>
      <c r="B92" s="293"/>
      <c r="C92" s="293"/>
      <c r="D92" s="293"/>
      <c r="E92" s="293"/>
      <c r="F92" s="293"/>
      <c r="G92" s="293"/>
      <c r="H92" s="293"/>
      <c r="I92" s="293"/>
      <c r="J92" s="293"/>
      <c r="K92" s="57"/>
      <c r="L92" s="57"/>
      <c r="M92" s="57"/>
      <c r="N92" s="57"/>
    </row>
    <row r="93" spans="1:14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</row>
    <row r="94" spans="1:14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</row>
    <row r="95" spans="1:14">
      <c r="A95" s="1362" t="s">
        <v>608</v>
      </c>
      <c r="B95" s="1362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1:14">
      <c r="A96" s="57" t="s">
        <v>609</v>
      </c>
      <c r="B96" s="57">
        <v>4.5</v>
      </c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</row>
    <row r="97" spans="1:14">
      <c r="A97" t="s">
        <v>610</v>
      </c>
      <c r="B97" s="57">
        <v>2.2999999999999998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</row>
    <row r="98" spans="1:14">
      <c r="A98" s="57" t="s">
        <v>611</v>
      </c>
      <c r="B98" s="57">
        <v>1.4</v>
      </c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</row>
    <row r="99" spans="1:14">
      <c r="A99" s="57" t="s">
        <v>612</v>
      </c>
      <c r="B99" s="57">
        <v>1.4</v>
      </c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</row>
    <row r="100" spans="1:14">
      <c r="A100" s="57" t="s">
        <v>613</v>
      </c>
      <c r="B100" s="57">
        <v>1.1000000000000001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</row>
    <row r="101" spans="1:14">
      <c r="A101" s="57" t="s">
        <v>614</v>
      </c>
      <c r="B101">
        <v>1.01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</row>
    <row r="102" spans="1:14">
      <c r="A102" s="57" t="s">
        <v>615</v>
      </c>
      <c r="B102" s="57">
        <v>0.5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</row>
    <row r="103" spans="1:14">
      <c r="A103" s="57" t="s">
        <v>616</v>
      </c>
      <c r="B103" s="57">
        <v>0.6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</row>
    <row r="104" spans="1:14">
      <c r="A104" s="57" t="s">
        <v>617</v>
      </c>
      <c r="B104" s="57">
        <v>0.80500000000000005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</row>
    <row r="105" spans="1:14">
      <c r="A105" s="57" t="s">
        <v>618</v>
      </c>
      <c r="B105" s="57">
        <v>0.88</v>
      </c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</row>
    <row r="106" spans="1:14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</row>
    <row r="107" spans="1:14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</row>
    <row r="108" spans="1:14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</row>
    <row r="109" spans="1:14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</row>
    <row r="110" spans="1:14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</row>
    <row r="111" spans="1:14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</row>
    <row r="112" spans="1:14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</row>
    <row r="113" spans="1:14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</row>
    <row r="114" spans="1:14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</row>
    <row r="115" spans="1:14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</row>
    <row r="116" spans="1:14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</row>
  </sheetData>
  <mergeCells count="165">
    <mergeCell ref="A95:B95"/>
    <mergeCell ref="M61:N61"/>
    <mergeCell ref="A45:B45"/>
    <mergeCell ref="A46:B46"/>
    <mergeCell ref="A47:B47"/>
    <mergeCell ref="A48:B48"/>
    <mergeCell ref="A49:B49"/>
    <mergeCell ref="M69:N69"/>
    <mergeCell ref="M62:N62"/>
    <mergeCell ref="K65:L65"/>
    <mergeCell ref="K62:L62"/>
    <mergeCell ref="K61:L61"/>
    <mergeCell ref="C64:D64"/>
    <mergeCell ref="E64:F64"/>
    <mergeCell ref="G64:H64"/>
    <mergeCell ref="I64:J64"/>
    <mergeCell ref="M63:N63"/>
    <mergeCell ref="M66:N66"/>
    <mergeCell ref="K63:L63"/>
    <mergeCell ref="M68:N68"/>
    <mergeCell ref="M64:N64"/>
    <mergeCell ref="K67:L67"/>
    <mergeCell ref="M65:N65"/>
    <mergeCell ref="K64:L64"/>
    <mergeCell ref="E65:F65"/>
    <mergeCell ref="G65:H65"/>
    <mergeCell ref="I65:J65"/>
    <mergeCell ref="G66:H66"/>
    <mergeCell ref="E63:F63"/>
    <mergeCell ref="G63:H63"/>
    <mergeCell ref="I63:J63"/>
    <mergeCell ref="C62:D62"/>
    <mergeCell ref="E62:F62"/>
    <mergeCell ref="G62:H62"/>
    <mergeCell ref="I62:J62"/>
    <mergeCell ref="E66:F66"/>
    <mergeCell ref="M72:N72"/>
    <mergeCell ref="M74:N74"/>
    <mergeCell ref="K66:L66"/>
    <mergeCell ref="G72:H72"/>
    <mergeCell ref="C70:D70"/>
    <mergeCell ref="E70:F70"/>
    <mergeCell ref="G70:H70"/>
    <mergeCell ref="G67:H67"/>
    <mergeCell ref="I67:J67"/>
    <mergeCell ref="C68:D68"/>
    <mergeCell ref="E68:F68"/>
    <mergeCell ref="G68:H68"/>
    <mergeCell ref="I68:J68"/>
    <mergeCell ref="E67:F67"/>
    <mergeCell ref="M73:N73"/>
    <mergeCell ref="K70:L70"/>
    <mergeCell ref="M70:N70"/>
    <mergeCell ref="K73:L73"/>
    <mergeCell ref="M67:N67"/>
    <mergeCell ref="K68:L68"/>
    <mergeCell ref="K72:L72"/>
    <mergeCell ref="M71:N71"/>
    <mergeCell ref="K71:L71"/>
    <mergeCell ref="K74:L74"/>
    <mergeCell ref="K69:L69"/>
    <mergeCell ref="A9:B9"/>
    <mergeCell ref="C61:D61"/>
    <mergeCell ref="C63:D63"/>
    <mergeCell ref="C66:D66"/>
    <mergeCell ref="A74:B74"/>
    <mergeCell ref="A75:B75"/>
    <mergeCell ref="A68:B68"/>
    <mergeCell ref="A69:B69"/>
    <mergeCell ref="A60:B60"/>
    <mergeCell ref="A61:B61"/>
    <mergeCell ref="A62:B62"/>
    <mergeCell ref="A63:B63"/>
    <mergeCell ref="A55:B55"/>
    <mergeCell ref="A40:B40"/>
    <mergeCell ref="A41:B41"/>
    <mergeCell ref="A35:B35"/>
    <mergeCell ref="A36:B36"/>
    <mergeCell ref="A37:B37"/>
    <mergeCell ref="A38:B38"/>
    <mergeCell ref="A39:B39"/>
    <mergeCell ref="A30:B30"/>
    <mergeCell ref="A31:B31"/>
    <mergeCell ref="C73:D73"/>
    <mergeCell ref="C67:D67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50:B50"/>
    <mergeCell ref="A51:B51"/>
    <mergeCell ref="A42:B42"/>
    <mergeCell ref="A43:B43"/>
    <mergeCell ref="A44:B44"/>
    <mergeCell ref="C65:D65"/>
    <mergeCell ref="A54:B54"/>
    <mergeCell ref="A56:B56"/>
    <mergeCell ref="A57:B57"/>
    <mergeCell ref="A58:B58"/>
    <mergeCell ref="A59:B59"/>
    <mergeCell ref="G61:H61"/>
    <mergeCell ref="A32:B32"/>
    <mergeCell ref="A33:B33"/>
    <mergeCell ref="A34:B34"/>
    <mergeCell ref="A26:B26"/>
    <mergeCell ref="A27:B27"/>
    <mergeCell ref="A28:B28"/>
    <mergeCell ref="A29:B29"/>
    <mergeCell ref="A24:B24"/>
    <mergeCell ref="A25:B25"/>
    <mergeCell ref="E61:F61"/>
    <mergeCell ref="A8:B8"/>
    <mergeCell ref="A52:B52"/>
    <mergeCell ref="A53:B53"/>
    <mergeCell ref="A12:B12"/>
    <mergeCell ref="A76:B76"/>
    <mergeCell ref="I74:J74"/>
    <mergeCell ref="I70:J70"/>
    <mergeCell ref="I73:J73"/>
    <mergeCell ref="G74:H74"/>
    <mergeCell ref="C69:D69"/>
    <mergeCell ref="C72:D72"/>
    <mergeCell ref="C74:D74"/>
    <mergeCell ref="E69:F69"/>
    <mergeCell ref="E72:F72"/>
    <mergeCell ref="E74:F74"/>
    <mergeCell ref="E73:F73"/>
    <mergeCell ref="G73:H73"/>
    <mergeCell ref="I72:J72"/>
    <mergeCell ref="C71:D71"/>
    <mergeCell ref="E71:F71"/>
    <mergeCell ref="G71:H71"/>
    <mergeCell ref="I71:J71"/>
    <mergeCell ref="I69:J69"/>
    <mergeCell ref="G69:H69"/>
    <mergeCell ref="A11:B11"/>
    <mergeCell ref="I61:J61"/>
    <mergeCell ref="A13:B13"/>
    <mergeCell ref="I66:J66"/>
    <mergeCell ref="M1:N1"/>
    <mergeCell ref="M2:N2"/>
    <mergeCell ref="M3:N3"/>
    <mergeCell ref="C1:L2"/>
    <mergeCell ref="C3:L3"/>
    <mergeCell ref="A1:B3"/>
    <mergeCell ref="M60:N60"/>
    <mergeCell ref="C4:N5"/>
    <mergeCell ref="I8:J8"/>
    <mergeCell ref="K8:L8"/>
    <mergeCell ref="M8:N8"/>
    <mergeCell ref="C60:D60"/>
    <mergeCell ref="E60:F60"/>
    <mergeCell ref="G60:H60"/>
    <mergeCell ref="I60:J60"/>
    <mergeCell ref="K60:L60"/>
    <mergeCell ref="C8:D8"/>
    <mergeCell ref="E8:F8"/>
    <mergeCell ref="G8:H8"/>
    <mergeCell ref="A7:B7"/>
  </mergeCells>
  <pageMargins left="0.7" right="0.7" top="0.75" bottom="0.75" header="0.3" footer="0.3"/>
  <pageSetup orientation="portrait" horizontalDpi="4294967292" verticalDpi="0" r:id="rId1"/>
  <ignoredErrors>
    <ignoredError sqref="G41 E31:E32 G31:G32 I31:I32 K31:L32 M31:M35 G39:M39 E49:M49 K15:K22 M15:M22 I15:I22 M24 E65 M44 L34 L33 E37:E39 G37:G38 I37:I38 K37:L38 L35 K34 I34 G34 E34 E33:K33 E35:K35 F34 H34 J34 E54:I54 E15:E22 G19:G22 M37:M38 H36:N36 F36 D36 D38 E24 G24 M54 K54" formula="1"/>
    <ignoredError sqref="D59:E59 G59 I59 K59 M59" evalError="1" formula="1"/>
    <ignoredError sqref="C59 F59 H59 J59 L59 N5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04-CG-2014</vt:lpstr>
      <vt:lpstr>01-FC-2014</vt:lpstr>
      <vt:lpstr>02-HH-2014</vt:lpstr>
      <vt:lpstr>03-APU-2014</vt:lpstr>
      <vt:lpstr>05-ED-2014</vt:lpstr>
      <vt:lpstr>06-UC1-2014</vt:lpstr>
      <vt:lpstr>07-UC2.1-2014</vt:lpstr>
      <vt:lpstr>08-UC2.1.2-2014</vt:lpstr>
      <vt:lpstr>09-UC2.3-2-2014</vt:lpstr>
      <vt:lpstr>10-UC2.3-3-2014</vt:lpstr>
      <vt:lpstr>11-UC3-2014</vt:lpstr>
      <vt:lpstr>12-UCV-2014</vt:lpstr>
      <vt:lpstr>13-UCVAL3-2014</vt:lpstr>
      <vt:lpstr>14-UCEVAL1,1-2014</vt:lpstr>
      <vt:lpstr>15-UCCIN-2014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esfera ingenieria</dc:creator>
  <cp:lastModifiedBy>FERNANDO</cp:lastModifiedBy>
  <cp:lastPrinted>2014-10-16T00:35:30Z</cp:lastPrinted>
  <dcterms:created xsi:type="dcterms:W3CDTF">2014-10-07T12:42:48Z</dcterms:created>
  <dcterms:modified xsi:type="dcterms:W3CDTF">2014-11-20T14:50:14Z</dcterms:modified>
</cp:coreProperties>
</file>